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tabRatio="784" activeTab="1"/>
  </bookViews>
  <sheets>
    <sheet name="мун.задание" sheetId="1" r:id="rId1"/>
    <sheet name="бланк" sheetId="2" r:id="rId2"/>
  </sheets>
  <externalReferences>
    <externalReference r:id="rId5"/>
    <externalReference r:id="rId6"/>
  </externalReferences>
  <definedNames>
    <definedName name="_xlnm.Print_Titles" localSheetId="1">'бланк'!$1:$3</definedName>
    <definedName name="_xlnm.Print_Area" localSheetId="1">'бланк'!$A$1:$S$71</definedName>
    <definedName name="_xlnm.Print_Area" localSheetId="0">'мун.задание'!$A$1:$R$231</definedName>
  </definedNames>
  <calcPr fullCalcOnLoad="1"/>
</workbook>
</file>

<file path=xl/sharedStrings.xml><?xml version="1.0" encoding="utf-8"?>
<sst xmlns="http://schemas.openxmlformats.org/spreadsheetml/2006/main" count="327" uniqueCount="230">
  <si>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</si>
  <si>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</si>
  <si>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</si>
  <si>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</si>
  <si>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</si>
  <si>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</si>
  <si>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</si>
  <si>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</si>
  <si>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</si>
  <si>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</si>
  <si>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</si>
  <si>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</si>
  <si>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</si>
  <si>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</si>
  <si>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</si>
  <si>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</si>
  <si>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</si>
  <si>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</si>
  <si>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</si>
  <si>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</si>
  <si>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</si>
  <si>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</si>
  <si>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</si>
  <si>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</si>
  <si>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</si>
  <si>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</si>
  <si>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</si>
  <si>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</si>
  <si>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</si>
  <si>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</si>
  <si>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</si>
  <si>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</si>
  <si>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</si>
  <si>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</si>
  <si>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</si>
  <si>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</si>
  <si>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</si>
  <si>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</si>
  <si>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</si>
  <si>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</si>
  <si>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</si>
  <si>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</si>
  <si>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</si>
  <si>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</si>
  <si>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</si>
  <si>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</si>
  <si>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</si>
  <si>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</si>
  <si>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</si>
  <si>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</si>
  <si>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</si>
  <si>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</si>
  <si>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</si>
  <si>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</si>
  <si>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</si>
  <si>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</si>
  <si>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</si>
  <si>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</si>
  <si>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</si>
  <si>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</si>
  <si>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</si>
  <si>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</si>
  <si>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</si>
  <si>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</si>
  <si>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</si>
  <si>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</si>
  <si>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</si>
  <si>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</si>
  <si>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</si>
  <si>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</si>
  <si>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</si>
  <si>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</si>
  <si>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</si>
  <si>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</si>
  <si>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</si>
  <si>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</si>
  <si>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</si>
  <si>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</si>
  <si>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</si>
  <si>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</si>
  <si>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</si>
  <si>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</si>
  <si>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</si>
  <si>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</si>
  <si>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</si>
  <si>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</si>
  <si>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</si>
  <si>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</si>
  <si>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</si>
  <si>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</si>
  <si>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</si>
  <si>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</si>
  <si>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 xml:space="preserve"> 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</si>
  <si>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</si>
  <si>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</si>
  <si>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</si>
  <si>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</si>
  <si>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</si>
  <si>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</si>
  <si>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</si>
  <si>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</si>
  <si>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</si>
  <si>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</si>
  <si>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Долгосрочная целевая программа Энергосбережения и повышения энергоэффективности в городе Пензе на период 2010-2020 годов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</si>
  <si>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</si>
  <si>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</si>
  <si>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</si>
  <si>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</si>
  <si>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</si>
  <si>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</si>
  <si>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</si>
  <si>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</si>
  <si>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</si>
  <si>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</si>
  <si>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</si>
  <si>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</si>
  <si>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>В соответствии со стандартом качества предоставляемой услуги, согласно постановления Администрации города Пензы № 682/1 от 19.05.2009 г.ОБ УТВЕРЖДЕНИИ СТАНДАРТА КАЧЕСТВА ПРЕДОСТАВЛЕНИЯ МУНИЦИПАЛЬНОЙ УСЛУГИ " ОРГАНИЗАЦИЯ ПРЕДОСТАВЛЕНИЯ ОБЩЕДОСТУПНОГО И БЕСПАТНОГО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</si>
  <si>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</si>
  <si>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</si>
  <si>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</si>
  <si>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</si>
  <si>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</si>
  <si>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</si>
  <si>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</si>
  <si>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</si>
  <si>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</si>
  <si>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</si>
  <si>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</si>
  <si>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</si>
  <si>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</si>
  <si>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</si>
  <si>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</si>
  <si>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</si>
  <si>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</si>
  <si>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</si>
  <si>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</si>
  <si>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</si>
  <si>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</si>
  <si>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</si>
  <si>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"Школьное молоко" на период 2011-2013 годы"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</si>
  <si>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</si>
  <si>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</si>
  <si>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</si>
  <si>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</si>
  <si>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</si>
  <si>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</si>
  <si>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</si>
  <si>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</si>
  <si>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</si>
  <si>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</si>
  <si>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</si>
  <si>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</si>
  <si>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</si>
  <si>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</si>
  <si>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</si>
  <si>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Гл.бухгалтер ____________________________________</t>
  </si>
  <si>
    <t>Директор_________________________________</t>
  </si>
  <si>
    <t>ВСЕГО СМЕТА</t>
  </si>
  <si>
    <t>итого по 3 блоку</t>
  </si>
  <si>
    <t>Налоги</t>
  </si>
  <si>
    <t>Коммунальные услуги</t>
  </si>
  <si>
    <t>итого по 1 блоку</t>
  </si>
  <si>
    <t>итого по 2 блоку</t>
  </si>
  <si>
    <t>итого по косгу 226</t>
  </si>
  <si>
    <t>Услуги по утилизация ртутосодержащих отходов</t>
  </si>
  <si>
    <t>Услуги тревожная кнопка</t>
  </si>
  <si>
    <t>итого по косгу 225</t>
  </si>
  <si>
    <t>текущий ремонт оборудования</t>
  </si>
  <si>
    <t>Коммунальные услуги (из блока3)</t>
  </si>
  <si>
    <t xml:space="preserve">приобретение услуг связи </t>
  </si>
  <si>
    <t>затраты на компенсационные выплаты по уходу за ребенком</t>
  </si>
  <si>
    <t>Компенсация на метод. Литературу</t>
  </si>
  <si>
    <t>4 квартал</t>
  </si>
  <si>
    <t>3 квартал</t>
  </si>
  <si>
    <t>2 квартал</t>
  </si>
  <si>
    <t>1 квартал</t>
  </si>
  <si>
    <t>месяц</t>
  </si>
  <si>
    <t>КОСГУ</t>
  </si>
  <si>
    <t>горячее водоснабжение</t>
  </si>
  <si>
    <t>всего</t>
  </si>
  <si>
    <t xml:space="preserve"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</t>
  </si>
  <si>
    <t>Ежемесячное денежное вознаграждение за классное руководство</t>
  </si>
  <si>
    <t>вода и канализация</t>
  </si>
  <si>
    <t>электроэнергия</t>
  </si>
  <si>
    <t>теплоэнергия</t>
  </si>
  <si>
    <t>Косгу 223 справочно заполнить и не распечатывать</t>
  </si>
  <si>
    <t>местные</t>
  </si>
  <si>
    <t>субвенция</t>
  </si>
  <si>
    <t>итого по местному бюджету блок 1</t>
  </si>
  <si>
    <t>итого по субвенции</t>
  </si>
  <si>
    <t>Приобретение материальныз запасов</t>
  </si>
  <si>
    <t>Приобретение основных средств</t>
  </si>
  <si>
    <t>МЕСТНЫЙ</t>
  </si>
  <si>
    <t>СУБВЕНЦИЯ</t>
  </si>
  <si>
    <t>Косгу 211 , 213  справочно заполнить и не распечатывать</t>
  </si>
  <si>
    <r>
      <t>ФЗП  персонала, 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(УЧИТЕЛЯ,ОБЖ)</t>
    </r>
  </si>
  <si>
    <r>
      <t>ФЗП  персонала, не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(ВСЕ ОСТАЛЬНЫЕ ДОЛЖНОСТИ)</t>
    </r>
  </si>
  <si>
    <t>местный</t>
  </si>
  <si>
    <t>в т.ч. Аванс</t>
  </si>
  <si>
    <t>на 1.06.11</t>
  </si>
  <si>
    <t>на 1.09.11</t>
  </si>
  <si>
    <t>Приобретение основных средств(субв)</t>
  </si>
  <si>
    <t>Приобретение материальныз запасов(субв)</t>
  </si>
  <si>
    <t>Голодяев Ю.А.</t>
  </si>
  <si>
    <t>Т/о теплосчетчиков</t>
  </si>
  <si>
    <t>Опресовка</t>
  </si>
  <si>
    <t>Заправка картриджей</t>
  </si>
  <si>
    <t>Сопровождение 1Сбухгалтерии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</si>
  <si>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01.01.2013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31.12.2013</t>
    </r>
    <r>
      <rPr>
        <sz val="11"/>
        <color indexed="8"/>
        <rFont val="Times New Roman"/>
        <family val="1"/>
      </rPr>
      <t>.</t>
    </r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</si>
  <si>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автономное образовательное учреждениемногопрофильная гимназия </t>
    </r>
    <r>
      <rPr>
        <i/>
        <u val="single"/>
        <sz val="11"/>
        <color indexed="8"/>
        <rFont val="Times New Roman"/>
        <family val="1"/>
      </rPr>
      <t>13</t>
    </r>
    <r>
      <rPr>
        <u val="single"/>
        <sz val="11"/>
        <color indexed="8"/>
        <rFont val="Times New Roman"/>
        <family val="1"/>
      </rPr>
      <t xml:space="preserve">  г. Пензы</t>
    </r>
  </si>
  <si>
    <t>Тымченко Е.Ю.</t>
  </si>
  <si>
    <t>Директор МАОУ многопрофильная гимназия №13</t>
  </si>
  <si>
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Пензы, в том числе:</t>
  </si>
  <si>
    <t>Подпрограмма "Организация отдыха, оздоровления и занятости детей и подростков" (в оздоровительных лагерях с дневным пребыванием детей в период школьных каникул)</t>
  </si>
  <si>
    <t>Определение нормативных затрат по  _МАОУ многопрофильная гимназия №13г.Пензы  2013г по месяцам.</t>
  </si>
  <si>
    <t>вывоз мусора</t>
  </si>
  <si>
    <t>тех.обслуживание ТС</t>
  </si>
  <si>
    <t>дератизация</t>
  </si>
  <si>
    <t>тех.обслуживание пожарной сигнализации</t>
  </si>
  <si>
    <t>Замер сопротивления</t>
  </si>
  <si>
    <t>чистка кровли</t>
  </si>
  <si>
    <t>Тех обслуживание средств радиомодема прямой связи</t>
  </si>
  <si>
    <t>поверка счетчиков</t>
  </si>
  <si>
    <t>Лабороторное исследование</t>
  </si>
  <si>
    <t>медосмотр</t>
  </si>
  <si>
    <t>повышение квалификации</t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</si>
  <si>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(УЧИТЕЛЯ,ОБЖ)</t>
    </r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</si>
  <si>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(ВСЕ ОСТАЛЬНЫЕ ДОЛЖНОСТИ)</t>
    </r>
  </si>
  <si>
    <t>на 1.01.13</t>
  </si>
  <si>
    <t>значки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</si>
</sst>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3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32" borderId="10" xfId="0" applyFont="1" applyFill="1" applyBorder="1" applyAlignment="1">
      <alignment/>
    </xf>
    <xf numFmtId="2" fontId="5" fillId="0" borderId="10" xfId="0" applyNumberFormat="1" applyFont="1" applyBorder="1" applyAlignment="1">
      <alignment textRotation="90"/>
    </xf>
    <xf numFmtId="2" fontId="5" fillId="32" borderId="10" xfId="0" applyNumberFormat="1" applyFont="1" applyFill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5" fillId="32" borderId="10" xfId="0" applyFont="1" applyFill="1" applyBorder="1" applyAlignment="1">
      <alignment textRotation="90"/>
    </xf>
    <xf numFmtId="0" fontId="15" fillId="0" borderId="16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0" xfId="0" applyFont="1" applyBorder="1" applyAlignment="1">
      <alignment wrapText="1"/>
    </xf>
    <xf numFmtId="0" fontId="15" fillId="0" borderId="18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8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vertical="top" wrapText="1"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2" borderId="0" xfId="0" applyFill="1" applyAlignment="1">
      <alignment/>
    </xf>
    <xf numFmtId="0" fontId="16" fillId="33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4" borderId="0" xfId="0" applyFill="1" applyAlignment="1">
      <alignment/>
    </xf>
    <xf numFmtId="0" fontId="12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12" fillId="4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10" xfId="0" applyFill="1" applyBorder="1" applyAlignment="1">
      <alignment/>
    </xf>
    <xf numFmtId="0" fontId="17" fillId="10" borderId="10" xfId="0" applyFont="1" applyFill="1" applyBorder="1" applyAlignment="1">
      <alignment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wrapText="1"/>
    </xf>
    <xf numFmtId="0" fontId="13" fillId="34" borderId="0" xfId="0" applyFont="1" applyFill="1" applyAlignment="1">
      <alignment/>
    </xf>
    <xf numFmtId="0" fontId="13" fillId="34" borderId="10" xfId="0" applyFont="1" applyFill="1" applyBorder="1" applyAlignment="1">
      <alignment/>
    </xf>
    <xf numFmtId="0" fontId="18" fillId="34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19" fillId="2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" fontId="3" fillId="0" borderId="10" xfId="0" applyNumberFormat="1" applyFont="1" applyBorder="1" applyAlignment="1">
      <alignment textRotation="90"/>
    </xf>
    <xf numFmtId="4" fontId="0" fillId="0" borderId="0" xfId="0" applyNumberFormat="1" applyAlignment="1">
      <alignment/>
    </xf>
    <xf numFmtId="4" fontId="0" fillId="2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9" fontId="0" fillId="2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20" fillId="33" borderId="10" xfId="0" applyNumberFormat="1" applyFont="1" applyFill="1" applyBorder="1" applyAlignment="1">
      <alignment/>
    </xf>
    <xf numFmtId="4" fontId="21" fillId="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4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2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4" fontId="21" fillId="10" borderId="10" xfId="0" applyNumberFormat="1" applyFont="1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4" fontId="13" fillId="34" borderId="10" xfId="0" applyNumberFormat="1" applyFont="1" applyFill="1" applyBorder="1" applyAlignment="1">
      <alignment/>
    </xf>
    <xf numFmtId="4" fontId="19" fillId="35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4" fontId="19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>
      <alignment/>
    </xf>
    <xf numFmtId="0" fontId="13" fillId="0" borderId="0" xfId="0" applyFont="1" applyFill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0" xfId="52" applyAlignment="1" applyProtection="1">
      <alignment/>
      <protection locked="0"/>
    </xf>
    <xf numFmtId="0" fontId="10" fillId="0" borderId="0" xfId="52" applyFont="1" applyProtection="1">
      <alignment/>
      <protection locked="0"/>
    </xf>
    <xf numFmtId="0" fontId="10" fillId="0" borderId="0" xfId="52" applyProtection="1">
      <alignment/>
      <protection locked="0"/>
    </xf>
    <xf numFmtId="2" fontId="0" fillId="2" borderId="10" xfId="0" applyNumberFormat="1" applyFill="1" applyBorder="1" applyAlignment="1">
      <alignment/>
    </xf>
    <xf numFmtId="4" fontId="19" fillId="34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12" fillId="4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16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4" fontId="13" fillId="34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19" fillId="3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4" fillId="2" borderId="0" xfId="0" applyFont="1" applyFill="1" applyAlignment="1">
      <alignment/>
    </xf>
    <xf numFmtId="4" fontId="25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10" fillId="0" borderId="0" xfId="52">
      <alignment/>
      <protection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textRotation="90"/>
    </xf>
    <xf numFmtId="0" fontId="3" fillId="0" borderId="21" xfId="0" applyFont="1" applyBorder="1" applyAlignment="1">
      <alignment/>
    </xf>
    <xf numFmtId="0" fontId="8" fillId="0" borderId="22" xfId="52" applyFont="1" applyBorder="1" applyAlignment="1">
      <alignment wrapText="1"/>
      <protection/>
    </xf>
    <xf numFmtId="0" fontId="8" fillId="0" borderId="23" xfId="52" applyFont="1" applyBorder="1" applyAlignment="1">
      <alignment wrapText="1"/>
      <protection/>
    </xf>
    <xf numFmtId="2" fontId="0" fillId="2" borderId="0" xfId="0" applyNumberFormat="1" applyFill="1" applyAlignment="1">
      <alignment/>
    </xf>
    <xf numFmtId="0" fontId="8" fillId="3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9" fillId="2" borderId="1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2" borderId="0" xfId="0" applyFont="1" applyFill="1" applyAlignment="1">
      <alignment/>
    </xf>
    <xf numFmtId="0" fontId="0" fillId="11" borderId="10" xfId="0" applyFill="1" applyBorder="1" applyAlignment="1" applyProtection="1">
      <alignment/>
      <protection locked="0"/>
    </xf>
    <xf numFmtId="0" fontId="0" fillId="11" borderId="10" xfId="0" applyFill="1" applyBorder="1" applyAlignment="1">
      <alignment/>
    </xf>
    <xf numFmtId="0" fontId="19" fillId="11" borderId="10" xfId="0" applyFont="1" applyFill="1" applyBorder="1" applyAlignment="1" applyProtection="1">
      <alignment/>
      <protection locked="0"/>
    </xf>
    <xf numFmtId="0" fontId="8" fillId="11" borderId="10" xfId="0" applyFont="1" applyFill="1" applyBorder="1" applyAlignment="1">
      <alignment vertical="top" wrapText="1"/>
    </xf>
    <xf numFmtId="4" fontId="0" fillId="11" borderId="10" xfId="0" applyNumberFormat="1" applyFill="1" applyBorder="1" applyAlignment="1">
      <alignment/>
    </xf>
    <xf numFmtId="4" fontId="0" fillId="11" borderId="0" xfId="0" applyNumberFormat="1" applyFill="1" applyAlignment="1">
      <alignment/>
    </xf>
    <xf numFmtId="0" fontId="9" fillId="11" borderId="10" xfId="0" applyFont="1" applyFill="1" applyBorder="1" applyAlignment="1">
      <alignment vertical="top" wrapText="1"/>
    </xf>
    <xf numFmtId="0" fontId="19" fillId="11" borderId="10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3" fillId="0" borderId="26" xfId="0" applyNumberFormat="1" applyFont="1" applyBorder="1" applyAlignment="1">
      <alignment horizontal="center" textRotation="90"/>
    </xf>
    <xf numFmtId="4" fontId="3" fillId="0" borderId="12" xfId="0" applyNumberFormat="1" applyFont="1" applyBorder="1" applyAlignment="1">
      <alignment horizontal="center" textRotation="90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4" fontId="3" fillId="0" borderId="2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3" fillId="0" borderId="21" xfId="0" applyFont="1" applyBorder="1" applyAlignment="1">
      <alignment horizontal="left" wrapText="1"/>
    </xf>
    <xf numFmtId="49" fontId="7" fillId="0" borderId="27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26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74\&#1084;&#1091;&#1085;&#1080;&#1094;%20&#1079;&#1072;&#1076;&#1072;&#1085;&#1080;&#1077;%202012\&#1050;&#1086;&#1087;&#1080;&#1103;%20&#1088;&#1072;&#1089;&#1095;&#1077;&#1090;%20&#1085;&#1086;&#1088;&#1084;&#1072;&#1090;&#1080;&#1074;&#1072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3;&#1083;&#1072;&#1074;&#1073;&#1091;&#1093;\&#1056;&#1072;&#1073;&#1086;&#1095;&#1080;&#1081;%20&#1089;&#1090;&#1086;&#1083;\&#1084;&#1091;&#1085;.&#1079;&#1072;&#1076;&#1072;&#1085;&#1080;&#1077;\&#1052;&#1047;%20&#1085;&#1072;%202013%20&#1075;&#1086;&#1076;\&#1050;&#1086;&#1087;&#1080;&#1103;%20&#1088;&#1072;&#1089;&#1095;&#1077;&#1090;%20&#1085;&#1086;&#1088;&#1084;&#1072;&#1090;&#1080;&#1074;&#1072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рматива"/>
      <sheetName val="п.1мест."/>
      <sheetName val="п.1 (суб.)"/>
      <sheetName val="п.2 (мест.)"/>
      <sheetName val="п.2 (суб.) "/>
      <sheetName val="п.3"/>
      <sheetName val="п.4"/>
      <sheetName val="п.5"/>
      <sheetName val="п.6"/>
      <sheetName val="проверка"/>
    </sheetNames>
    <sheetDataSet>
      <sheetData sheetId="0">
        <row r="51">
          <cell r="F51">
            <v>2935.8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рматива"/>
      <sheetName val="п.1мест."/>
      <sheetName val="п.1 (суб.)"/>
      <sheetName val="п.2 (мест.)"/>
      <sheetName val="п.2 (суб.) "/>
      <sheetName val="п.3"/>
      <sheetName val="п.4"/>
      <sheetName val="п.5"/>
      <sheetName val="п.6"/>
      <sheetName val="проверка"/>
    </sheetNames>
    <sheetDataSet>
      <sheetData sheetId="0">
        <row r="13">
          <cell r="F13">
            <v>0</v>
          </cell>
        </row>
        <row r="17">
          <cell r="F17">
            <v>1293815.51</v>
          </cell>
        </row>
        <row r="19">
          <cell r="F19">
            <v>390721.85</v>
          </cell>
        </row>
        <row r="20">
          <cell r="F20">
            <v>0</v>
          </cell>
        </row>
        <row r="24">
          <cell r="F24">
            <v>9317116.34</v>
          </cell>
        </row>
        <row r="26">
          <cell r="F26">
            <v>2642618</v>
          </cell>
        </row>
        <row r="35">
          <cell r="F35">
            <v>4200</v>
          </cell>
        </row>
        <row r="38">
          <cell r="F38">
            <v>4480807.66</v>
          </cell>
        </row>
        <row r="40">
          <cell r="F40">
            <v>1353204</v>
          </cell>
        </row>
        <row r="44">
          <cell r="F44">
            <v>3181384.4899999998</v>
          </cell>
        </row>
        <row r="46">
          <cell r="F46">
            <v>960778.15</v>
          </cell>
        </row>
        <row r="50">
          <cell r="F50">
            <v>122658.4</v>
          </cell>
        </row>
        <row r="52">
          <cell r="F52">
            <v>3960</v>
          </cell>
        </row>
        <row r="53">
          <cell r="F53">
            <v>52608</v>
          </cell>
        </row>
        <row r="54">
          <cell r="F54">
            <v>10000</v>
          </cell>
        </row>
        <row r="55">
          <cell r="F55">
            <v>70611.56</v>
          </cell>
        </row>
        <row r="56">
          <cell r="F56">
            <v>4000</v>
          </cell>
        </row>
        <row r="57">
          <cell r="F57">
            <v>4550</v>
          </cell>
        </row>
        <row r="58">
          <cell r="F58">
            <v>16800</v>
          </cell>
        </row>
        <row r="59">
          <cell r="F59">
            <v>38526.24</v>
          </cell>
        </row>
        <row r="60">
          <cell r="F60">
            <v>8450</v>
          </cell>
        </row>
        <row r="68">
          <cell r="F68">
            <v>12034.08</v>
          </cell>
        </row>
        <row r="69">
          <cell r="F69">
            <v>8000</v>
          </cell>
        </row>
        <row r="70">
          <cell r="F70">
            <v>15000</v>
          </cell>
        </row>
        <row r="71">
          <cell r="F71">
            <v>35600</v>
          </cell>
        </row>
        <row r="75">
          <cell r="F75">
            <v>28058</v>
          </cell>
        </row>
        <row r="103">
          <cell r="F103">
            <v>51968.08</v>
          </cell>
        </row>
        <row r="104">
          <cell r="F104">
            <v>41469.84</v>
          </cell>
        </row>
        <row r="106">
          <cell r="F106">
            <v>3500</v>
          </cell>
        </row>
        <row r="108">
          <cell r="F108">
            <v>8000</v>
          </cell>
        </row>
        <row r="109">
          <cell r="F109">
            <v>122770</v>
          </cell>
        </row>
        <row r="110">
          <cell r="F110">
            <v>8000</v>
          </cell>
        </row>
        <row r="133">
          <cell r="F133">
            <v>51614.97</v>
          </cell>
        </row>
        <row r="134">
          <cell r="F134">
            <v>45417.68</v>
          </cell>
        </row>
        <row r="135">
          <cell r="F135">
            <v>85025.62</v>
          </cell>
        </row>
        <row r="136">
          <cell r="F136">
            <v>587552.4299999999</v>
          </cell>
        </row>
        <row r="137">
          <cell r="F137">
            <v>1122873.17</v>
          </cell>
        </row>
        <row r="139">
          <cell r="F139">
            <v>1892483.8699999999</v>
          </cell>
        </row>
        <row r="142">
          <cell r="F142">
            <v>887016</v>
          </cell>
        </row>
        <row r="143">
          <cell r="F143">
            <v>910684</v>
          </cell>
        </row>
        <row r="147">
          <cell r="F147">
            <v>587552.4299999999</v>
          </cell>
        </row>
        <row r="148">
          <cell r="F148">
            <v>124763.7</v>
          </cell>
        </row>
        <row r="152">
          <cell r="F152">
            <v>2510016.13</v>
          </cell>
        </row>
        <row r="153">
          <cell r="F153">
            <v>28991400</v>
          </cell>
        </row>
      </sheetData>
      <sheetData sheetId="2">
        <row r="18">
          <cell r="E18">
            <v>188076</v>
          </cell>
        </row>
        <row r="19">
          <cell r="E19">
            <v>106678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1"/>
  <sheetViews>
    <sheetView view="pageBreakPreview" zoomScaleSheetLayoutView="100" workbookViewId="0" topLeftCell="A10">
      <selection activeCell="R188" sqref="R188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4.421875" style="1" customWidth="1"/>
    <col min="6" max="6" width="5.7109375" style="1" customWidth="1"/>
    <col min="7" max="7" width="6.8515625" style="1" customWidth="1"/>
    <col min="8" max="9" width="5.8515625" style="1" customWidth="1"/>
    <col min="10" max="10" width="6.140625" style="1" customWidth="1"/>
    <col min="11" max="11" width="8.421875" style="1" customWidth="1"/>
    <col min="12" max="12" width="6.7109375" style="1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0.28125" style="1" customWidth="1"/>
    <col min="19" max="19" width="9.140625" style="1" customWidth="1"/>
    <col min="20" max="20" width="12.28125" style="1" bestFit="1" customWidth="1"/>
    <col min="21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5" hidden="1"/>
    <row r="12" spans="1:18" ht="15" customHeight="1">
      <c r="A12" s="213" t="s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</row>
    <row r="13" spans="1:18" ht="15">
      <c r="A13" s="214" t="s">
        <v>11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1:18" ht="15">
      <c r="A14" s="215" t="s">
        <v>208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7" spans="1:23" ht="33" customHeight="1">
      <c r="A17" s="305" t="s">
        <v>209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20"/>
      <c r="T17" s="20"/>
      <c r="U17" s="20"/>
      <c r="V17" s="20"/>
      <c r="W17" s="20"/>
    </row>
    <row r="19" spans="1:6" ht="15">
      <c r="A19" s="306" t="s">
        <v>12</v>
      </c>
      <c r="B19" s="306"/>
      <c r="C19" s="306"/>
      <c r="D19" s="306"/>
      <c r="E19" s="306"/>
      <c r="F19" s="306"/>
    </row>
    <row r="21" spans="1:18" ht="93" customHeight="1">
      <c r="A21" s="57" t="s">
        <v>13</v>
      </c>
      <c r="B21" s="57" t="s">
        <v>14</v>
      </c>
      <c r="C21" s="57" t="s">
        <v>15</v>
      </c>
      <c r="D21" s="183" t="s">
        <v>16</v>
      </c>
      <c r="E21" s="184"/>
      <c r="F21" s="183" t="s">
        <v>17</v>
      </c>
      <c r="G21" s="184"/>
      <c r="H21" s="183" t="s">
        <v>22</v>
      </c>
      <c r="I21" s="184"/>
      <c r="J21" s="183" t="s">
        <v>23</v>
      </c>
      <c r="K21" s="184"/>
      <c r="L21" s="183" t="s">
        <v>21</v>
      </c>
      <c r="M21" s="184"/>
      <c r="N21" s="183" t="s">
        <v>20</v>
      </c>
      <c r="O21" s="184"/>
      <c r="P21" s="57" t="s">
        <v>19</v>
      </c>
      <c r="Q21" s="183" t="s">
        <v>18</v>
      </c>
      <c r="R21" s="184"/>
    </row>
    <row r="22" spans="1:18" s="25" customFormat="1" ht="222" customHeight="1">
      <c r="A22" s="189">
        <v>1</v>
      </c>
      <c r="B22" s="189" t="s">
        <v>100</v>
      </c>
      <c r="C22" s="210" t="s">
        <v>149</v>
      </c>
      <c r="D22" s="189" t="s">
        <v>109</v>
      </c>
      <c r="E22" s="189"/>
      <c r="F22" s="192" t="s">
        <v>150</v>
      </c>
      <c r="G22" s="193"/>
      <c r="H22" s="192" t="s">
        <v>110</v>
      </c>
      <c r="I22" s="193"/>
      <c r="J22" s="190" t="s">
        <v>151</v>
      </c>
      <c r="K22" s="190"/>
      <c r="L22" s="189" t="s">
        <v>101</v>
      </c>
      <c r="M22" s="189"/>
      <c r="N22" s="189" t="s">
        <v>111</v>
      </c>
      <c r="O22" s="189"/>
      <c r="P22" s="190" t="s">
        <v>152</v>
      </c>
      <c r="Q22" s="198" t="s">
        <v>153</v>
      </c>
      <c r="R22" s="199"/>
    </row>
    <row r="23" spans="1:18" s="25" customFormat="1" ht="60.75" customHeight="1">
      <c r="A23" s="189"/>
      <c r="B23" s="189"/>
      <c r="C23" s="211"/>
      <c r="D23" s="189"/>
      <c r="E23" s="189"/>
      <c r="F23" s="194"/>
      <c r="G23" s="195"/>
      <c r="H23" s="194"/>
      <c r="I23" s="195"/>
      <c r="J23" s="190"/>
      <c r="K23" s="190"/>
      <c r="L23" s="189"/>
      <c r="M23" s="189"/>
      <c r="N23" s="189"/>
      <c r="O23" s="189"/>
      <c r="P23" s="190"/>
      <c r="Q23" s="200"/>
      <c r="R23" s="201"/>
    </row>
    <row r="24" spans="1:18" s="25" customFormat="1" ht="60.75" customHeight="1">
      <c r="A24" s="189"/>
      <c r="B24" s="189"/>
      <c r="C24" s="211"/>
      <c r="D24" s="189"/>
      <c r="E24" s="189"/>
      <c r="F24" s="194"/>
      <c r="G24" s="195"/>
      <c r="H24" s="194"/>
      <c r="I24" s="195"/>
      <c r="J24" s="190"/>
      <c r="K24" s="190"/>
      <c r="L24" s="189"/>
      <c r="M24" s="189"/>
      <c r="N24" s="189"/>
      <c r="O24" s="189"/>
      <c r="P24" s="190"/>
      <c r="Q24" s="200"/>
      <c r="R24" s="201"/>
    </row>
    <row r="25" spans="1:18" s="25" customFormat="1" ht="60.75" customHeight="1">
      <c r="A25" s="189"/>
      <c r="B25" s="189"/>
      <c r="C25" s="211"/>
      <c r="D25" s="189"/>
      <c r="E25" s="189"/>
      <c r="F25" s="194"/>
      <c r="G25" s="195"/>
      <c r="H25" s="194"/>
      <c r="I25" s="195"/>
      <c r="J25" s="190"/>
      <c r="K25" s="190"/>
      <c r="L25" s="189"/>
      <c r="M25" s="189"/>
      <c r="N25" s="189"/>
      <c r="O25" s="189"/>
      <c r="P25" s="190"/>
      <c r="Q25" s="200"/>
      <c r="R25" s="201"/>
    </row>
    <row r="26" spans="1:18" s="25" customFormat="1" ht="60.75" customHeight="1">
      <c r="A26" s="189"/>
      <c r="B26" s="189"/>
      <c r="C26" s="211"/>
      <c r="D26" s="189"/>
      <c r="E26" s="189"/>
      <c r="F26" s="194"/>
      <c r="G26" s="195"/>
      <c r="H26" s="194"/>
      <c r="I26" s="195"/>
      <c r="J26" s="190"/>
      <c r="K26" s="190"/>
      <c r="L26" s="189"/>
      <c r="M26" s="189"/>
      <c r="N26" s="189"/>
      <c r="O26" s="189"/>
      <c r="P26" s="190"/>
      <c r="Q26" s="200"/>
      <c r="R26" s="201"/>
    </row>
    <row r="27" spans="1:18" s="25" customFormat="1" ht="60.75" customHeight="1">
      <c r="A27" s="189"/>
      <c r="B27" s="189"/>
      <c r="C27" s="211"/>
      <c r="D27" s="189"/>
      <c r="E27" s="189"/>
      <c r="F27" s="194"/>
      <c r="G27" s="195"/>
      <c r="H27" s="194"/>
      <c r="I27" s="195"/>
      <c r="J27" s="190"/>
      <c r="K27" s="190"/>
      <c r="L27" s="189"/>
      <c r="M27" s="189"/>
      <c r="N27" s="189"/>
      <c r="O27" s="189"/>
      <c r="P27" s="190"/>
      <c r="Q27" s="200"/>
      <c r="R27" s="201"/>
    </row>
    <row r="28" spans="1:18" s="25" customFormat="1" ht="60.75" customHeight="1">
      <c r="A28" s="189"/>
      <c r="B28" s="189"/>
      <c r="C28" s="211"/>
      <c r="D28" s="189"/>
      <c r="E28" s="189"/>
      <c r="F28" s="194"/>
      <c r="G28" s="195"/>
      <c r="H28" s="194"/>
      <c r="I28" s="195"/>
      <c r="J28" s="190"/>
      <c r="K28" s="190"/>
      <c r="L28" s="189"/>
      <c r="M28" s="189"/>
      <c r="N28" s="189"/>
      <c r="O28" s="189"/>
      <c r="P28" s="190"/>
      <c r="Q28" s="200"/>
      <c r="R28" s="201"/>
    </row>
    <row r="29" spans="1:18" s="25" customFormat="1" ht="60.75" customHeight="1">
      <c r="A29" s="189"/>
      <c r="B29" s="189"/>
      <c r="C29" s="211"/>
      <c r="D29" s="189"/>
      <c r="E29" s="189"/>
      <c r="F29" s="194"/>
      <c r="G29" s="195"/>
      <c r="H29" s="194"/>
      <c r="I29" s="195"/>
      <c r="J29" s="190"/>
      <c r="K29" s="190"/>
      <c r="L29" s="189"/>
      <c r="M29" s="189"/>
      <c r="N29" s="189"/>
      <c r="O29" s="189"/>
      <c r="P29" s="190"/>
      <c r="Q29" s="200"/>
      <c r="R29" s="201"/>
    </row>
    <row r="30" spans="1:18" s="25" customFormat="1" ht="35.25" customHeight="1">
      <c r="A30" s="189"/>
      <c r="B30" s="189"/>
      <c r="C30" s="211"/>
      <c r="D30" s="189"/>
      <c r="E30" s="189"/>
      <c r="F30" s="194"/>
      <c r="G30" s="195"/>
      <c r="H30" s="194"/>
      <c r="I30" s="195"/>
      <c r="J30" s="190"/>
      <c r="K30" s="190"/>
      <c r="L30" s="189"/>
      <c r="M30" s="189"/>
      <c r="N30" s="189"/>
      <c r="O30" s="189"/>
      <c r="P30" s="190"/>
      <c r="Q30" s="200"/>
      <c r="R30" s="201"/>
    </row>
    <row r="31" spans="1:18" s="25" customFormat="1" ht="60.75" customHeight="1" hidden="1">
      <c r="A31" s="189"/>
      <c r="B31" s="189"/>
      <c r="C31" s="211"/>
      <c r="D31" s="189"/>
      <c r="E31" s="189"/>
      <c r="F31" s="194"/>
      <c r="G31" s="195"/>
      <c r="H31" s="194"/>
      <c r="I31" s="195"/>
      <c r="J31" s="190"/>
      <c r="K31" s="190"/>
      <c r="L31" s="189"/>
      <c r="M31" s="189"/>
      <c r="N31" s="189"/>
      <c r="O31" s="189"/>
      <c r="P31" s="190"/>
      <c r="Q31" s="200"/>
      <c r="R31" s="201"/>
    </row>
    <row r="32" spans="1:18" s="25" customFormat="1" ht="30.75" customHeight="1">
      <c r="A32" s="189"/>
      <c r="B32" s="189"/>
      <c r="C32" s="212"/>
      <c r="D32" s="189"/>
      <c r="E32" s="189"/>
      <c r="F32" s="196"/>
      <c r="G32" s="197"/>
      <c r="H32" s="196"/>
      <c r="I32" s="197"/>
      <c r="J32" s="190"/>
      <c r="K32" s="190"/>
      <c r="L32" s="189"/>
      <c r="M32" s="189"/>
      <c r="N32" s="189"/>
      <c r="O32" s="189"/>
      <c r="P32" s="190"/>
      <c r="Q32" s="202"/>
      <c r="R32" s="203"/>
    </row>
    <row r="35" ht="15">
      <c r="B35" s="1" t="s">
        <v>24</v>
      </c>
    </row>
    <row r="37" spans="1:18" ht="15" customHeight="1">
      <c r="A37" s="183" t="s">
        <v>14</v>
      </c>
      <c r="B37" s="184"/>
      <c r="C37" s="187" t="s">
        <v>29</v>
      </c>
      <c r="D37" s="191" t="s">
        <v>25</v>
      </c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</row>
    <row r="38" spans="1:18" ht="28.5" customHeight="1">
      <c r="A38" s="185"/>
      <c r="B38" s="186"/>
      <c r="C38" s="188"/>
      <c r="D38" s="191" t="s">
        <v>26</v>
      </c>
      <c r="E38" s="191"/>
      <c r="F38" s="191"/>
      <c r="G38" s="191"/>
      <c r="H38" s="191"/>
      <c r="I38" s="191"/>
      <c r="J38" s="207" t="s">
        <v>27</v>
      </c>
      <c r="K38" s="208"/>
      <c r="L38" s="208"/>
      <c r="M38" s="208"/>
      <c r="N38" s="208"/>
      <c r="O38" s="209"/>
      <c r="P38" s="191" t="s">
        <v>28</v>
      </c>
      <c r="Q38" s="191"/>
      <c r="R38" s="191"/>
    </row>
    <row r="39" spans="1:19" ht="83.25" customHeight="1">
      <c r="A39" s="185"/>
      <c r="B39" s="186"/>
      <c r="C39" s="188"/>
      <c r="D39" s="187" t="s">
        <v>30</v>
      </c>
      <c r="E39" s="187"/>
      <c r="F39" s="187" t="s">
        <v>31</v>
      </c>
      <c r="G39" s="187"/>
      <c r="H39" s="187" t="s">
        <v>32</v>
      </c>
      <c r="I39" s="187"/>
      <c r="J39" s="187" t="s">
        <v>30</v>
      </c>
      <c r="K39" s="187"/>
      <c r="L39" s="187" t="s">
        <v>31</v>
      </c>
      <c r="M39" s="187"/>
      <c r="N39" s="183" t="s">
        <v>32</v>
      </c>
      <c r="O39" s="184"/>
      <c r="P39" s="27" t="s">
        <v>30</v>
      </c>
      <c r="Q39" s="27" t="s">
        <v>31</v>
      </c>
      <c r="R39" s="27" t="s">
        <v>32</v>
      </c>
      <c r="S39" s="6"/>
    </row>
    <row r="40" spans="1:18" s="26" customFormat="1" ht="199.5" customHeight="1">
      <c r="A40" s="226" t="s">
        <v>100</v>
      </c>
      <c r="B40" s="226"/>
      <c r="C40" s="190" t="s">
        <v>141</v>
      </c>
      <c r="D40" s="204" t="s">
        <v>105</v>
      </c>
      <c r="E40" s="205"/>
      <c r="F40" s="204" t="s">
        <v>106</v>
      </c>
      <c r="G40" s="205"/>
      <c r="H40" s="218"/>
      <c r="I40" s="219"/>
      <c r="J40" s="206"/>
      <c r="K40" s="206"/>
      <c r="L40" s="218"/>
      <c r="M40" s="219"/>
      <c r="N40" s="206"/>
      <c r="O40" s="206"/>
      <c r="P40" s="38" t="s">
        <v>107</v>
      </c>
      <c r="Q40" s="39" t="s">
        <v>108</v>
      </c>
      <c r="R40" s="28"/>
    </row>
    <row r="41" spans="1:18" s="26" customFormat="1" ht="10.5">
      <c r="A41" s="226"/>
      <c r="B41" s="226"/>
      <c r="C41" s="190"/>
      <c r="D41" s="216"/>
      <c r="E41" s="217"/>
      <c r="F41" s="216"/>
      <c r="G41" s="217"/>
      <c r="H41" s="40"/>
      <c r="I41" s="41"/>
      <c r="J41" s="42"/>
      <c r="K41" s="42"/>
      <c r="L41" s="40"/>
      <c r="M41" s="41"/>
      <c r="N41" s="42"/>
      <c r="O41" s="42"/>
      <c r="P41" s="43"/>
      <c r="Q41" s="44"/>
      <c r="R41" s="45"/>
    </row>
    <row r="42" spans="1:18" s="26" customFormat="1" ht="10.5">
      <c r="A42" s="226"/>
      <c r="B42" s="226"/>
      <c r="C42" s="190"/>
      <c r="D42" s="216"/>
      <c r="E42" s="217"/>
      <c r="F42" s="216"/>
      <c r="G42" s="217"/>
      <c r="H42" s="40"/>
      <c r="I42" s="41"/>
      <c r="J42" s="42"/>
      <c r="K42" s="42"/>
      <c r="L42" s="40"/>
      <c r="M42" s="41"/>
      <c r="N42" s="42"/>
      <c r="O42" s="42"/>
      <c r="P42" s="43"/>
      <c r="Q42" s="44"/>
      <c r="R42" s="45"/>
    </row>
    <row r="43" spans="1:18" s="26" customFormat="1" ht="10.5">
      <c r="A43" s="226"/>
      <c r="B43" s="226"/>
      <c r="C43" s="190"/>
      <c r="D43" s="216"/>
      <c r="E43" s="217"/>
      <c r="F43" s="216"/>
      <c r="G43" s="217"/>
      <c r="H43" s="40"/>
      <c r="I43" s="41"/>
      <c r="J43" s="42"/>
      <c r="K43" s="42"/>
      <c r="L43" s="40"/>
      <c r="M43" s="41"/>
      <c r="N43" s="42"/>
      <c r="O43" s="42"/>
      <c r="P43" s="43"/>
      <c r="Q43" s="44"/>
      <c r="R43" s="45"/>
    </row>
    <row r="44" spans="1:18" s="26" customFormat="1" ht="10.5">
      <c r="A44" s="226"/>
      <c r="B44" s="226"/>
      <c r="C44" s="190"/>
      <c r="D44" s="216"/>
      <c r="E44" s="217"/>
      <c r="F44" s="216"/>
      <c r="G44" s="217"/>
      <c r="H44" s="40"/>
      <c r="I44" s="41"/>
      <c r="J44" s="42"/>
      <c r="K44" s="42"/>
      <c r="L44" s="40"/>
      <c r="M44" s="41"/>
      <c r="N44" s="42"/>
      <c r="O44" s="42"/>
      <c r="P44" s="43"/>
      <c r="Q44" s="44"/>
      <c r="R44" s="45"/>
    </row>
    <row r="45" spans="1:18" s="26" customFormat="1" ht="10.5">
      <c r="A45" s="226"/>
      <c r="B45" s="226"/>
      <c r="C45" s="190"/>
      <c r="D45" s="216"/>
      <c r="E45" s="217"/>
      <c r="F45" s="216"/>
      <c r="G45" s="217"/>
      <c r="H45" s="40"/>
      <c r="I45" s="41"/>
      <c r="J45" s="42"/>
      <c r="K45" s="42"/>
      <c r="L45" s="40"/>
      <c r="M45" s="41"/>
      <c r="N45" s="42"/>
      <c r="O45" s="42"/>
      <c r="P45" s="43"/>
      <c r="Q45" s="44"/>
      <c r="R45" s="45"/>
    </row>
    <row r="46" spans="1:18" s="26" customFormat="1" ht="10.5">
      <c r="A46" s="226"/>
      <c r="B46" s="226"/>
      <c r="C46" s="190"/>
      <c r="D46" s="216"/>
      <c r="E46" s="217"/>
      <c r="F46" s="216"/>
      <c r="G46" s="217"/>
      <c r="H46" s="40"/>
      <c r="I46" s="41"/>
      <c r="J46" s="42"/>
      <c r="K46" s="42"/>
      <c r="L46" s="40"/>
      <c r="M46" s="41"/>
      <c r="N46" s="42"/>
      <c r="O46" s="42"/>
      <c r="P46" s="43"/>
      <c r="Q46" s="44"/>
      <c r="R46" s="45"/>
    </row>
    <row r="47" spans="1:18" s="26" customFormat="1" ht="10.5">
      <c r="A47" s="226"/>
      <c r="B47" s="226"/>
      <c r="C47" s="190"/>
      <c r="D47" s="216"/>
      <c r="E47" s="217"/>
      <c r="F47" s="216"/>
      <c r="G47" s="217"/>
      <c r="H47" s="40"/>
      <c r="I47" s="41"/>
      <c r="J47" s="42"/>
      <c r="K47" s="42"/>
      <c r="L47" s="40"/>
      <c r="M47" s="41"/>
      <c r="N47" s="42"/>
      <c r="O47" s="42"/>
      <c r="P47" s="43"/>
      <c r="Q47" s="44"/>
      <c r="R47" s="45"/>
    </row>
    <row r="48" spans="1:18" s="26" customFormat="1" ht="10.5">
      <c r="A48" s="226"/>
      <c r="B48" s="226"/>
      <c r="C48" s="190"/>
      <c r="D48" s="216"/>
      <c r="E48" s="217"/>
      <c r="F48" s="216"/>
      <c r="G48" s="217"/>
      <c r="H48" s="40"/>
      <c r="I48" s="41"/>
      <c r="J48" s="42"/>
      <c r="K48" s="42"/>
      <c r="L48" s="40"/>
      <c r="M48" s="41"/>
      <c r="N48" s="42"/>
      <c r="O48" s="42"/>
      <c r="P48" s="43"/>
      <c r="Q48" s="44"/>
      <c r="R48" s="45"/>
    </row>
    <row r="49" spans="1:18" s="26" customFormat="1" ht="10.5">
      <c r="A49" s="226"/>
      <c r="B49" s="226"/>
      <c r="C49" s="190"/>
      <c r="D49" s="216"/>
      <c r="E49" s="217"/>
      <c r="F49" s="216"/>
      <c r="G49" s="217"/>
      <c r="H49" s="40"/>
      <c r="I49" s="41"/>
      <c r="J49" s="42"/>
      <c r="K49" s="42"/>
      <c r="L49" s="40"/>
      <c r="M49" s="41"/>
      <c r="N49" s="42"/>
      <c r="O49" s="42"/>
      <c r="P49" s="43"/>
      <c r="Q49" s="44"/>
      <c r="R49" s="45"/>
    </row>
    <row r="50" spans="1:18" s="26" customFormat="1" ht="10.5">
      <c r="A50" s="226"/>
      <c r="B50" s="226"/>
      <c r="C50" s="190"/>
      <c r="D50" s="216"/>
      <c r="E50" s="217"/>
      <c r="F50" s="216"/>
      <c r="G50" s="217"/>
      <c r="H50" s="40"/>
      <c r="I50" s="41"/>
      <c r="J50" s="42"/>
      <c r="K50" s="42"/>
      <c r="L50" s="40"/>
      <c r="M50" s="41"/>
      <c r="N50" s="42"/>
      <c r="O50" s="42"/>
      <c r="P50" s="43"/>
      <c r="Q50" s="44"/>
      <c r="R50" s="45"/>
    </row>
    <row r="51" spans="1:18" s="26" customFormat="1" ht="10.5">
      <c r="A51" s="226"/>
      <c r="B51" s="226"/>
      <c r="C51" s="190"/>
      <c r="D51" s="216"/>
      <c r="E51" s="217"/>
      <c r="F51" s="216"/>
      <c r="G51" s="217"/>
      <c r="H51" s="40"/>
      <c r="I51" s="41"/>
      <c r="J51" s="42"/>
      <c r="K51" s="42"/>
      <c r="L51" s="40"/>
      <c r="M51" s="41"/>
      <c r="N51" s="42"/>
      <c r="O51" s="42"/>
      <c r="P51" s="43"/>
      <c r="Q51" s="44"/>
      <c r="R51" s="45"/>
    </row>
    <row r="52" spans="1:18" s="26" customFormat="1" ht="10.5">
      <c r="A52" s="226"/>
      <c r="B52" s="226"/>
      <c r="C52" s="190"/>
      <c r="D52" s="216"/>
      <c r="E52" s="217"/>
      <c r="F52" s="216"/>
      <c r="G52" s="217"/>
      <c r="H52" s="40"/>
      <c r="I52" s="41"/>
      <c r="J52" s="42"/>
      <c r="K52" s="42"/>
      <c r="L52" s="40"/>
      <c r="M52" s="41"/>
      <c r="N52" s="42"/>
      <c r="O52" s="42"/>
      <c r="P52" s="43"/>
      <c r="Q52" s="44"/>
      <c r="R52" s="45"/>
    </row>
    <row r="53" spans="1:18" s="26" customFormat="1" ht="10.5">
      <c r="A53" s="226"/>
      <c r="B53" s="226"/>
      <c r="C53" s="190"/>
      <c r="D53" s="216"/>
      <c r="E53" s="217"/>
      <c r="F53" s="216"/>
      <c r="G53" s="217"/>
      <c r="H53" s="40"/>
      <c r="I53" s="41"/>
      <c r="J53" s="42"/>
      <c r="K53" s="42"/>
      <c r="L53" s="40"/>
      <c r="M53" s="41"/>
      <c r="N53" s="42"/>
      <c r="O53" s="42"/>
      <c r="P53" s="43"/>
      <c r="Q53" s="44"/>
      <c r="R53" s="45"/>
    </row>
    <row r="54" spans="1:18" s="26" customFormat="1" ht="10.5">
      <c r="A54" s="226"/>
      <c r="B54" s="226"/>
      <c r="C54" s="190"/>
      <c r="D54" s="216"/>
      <c r="E54" s="217"/>
      <c r="F54" s="216"/>
      <c r="G54" s="217"/>
      <c r="H54" s="40"/>
      <c r="I54" s="41"/>
      <c r="J54" s="42"/>
      <c r="K54" s="42"/>
      <c r="L54" s="40"/>
      <c r="M54" s="41"/>
      <c r="N54" s="42"/>
      <c r="O54" s="42"/>
      <c r="P54" s="43"/>
      <c r="Q54" s="44"/>
      <c r="R54" s="45"/>
    </row>
    <row r="55" spans="1:18" s="26" customFormat="1" ht="34.5" customHeight="1">
      <c r="A55" s="226"/>
      <c r="B55" s="226"/>
      <c r="C55" s="190"/>
      <c r="D55" s="216"/>
      <c r="E55" s="217"/>
      <c r="F55" s="216"/>
      <c r="G55" s="217"/>
      <c r="H55" s="40"/>
      <c r="I55" s="42"/>
      <c r="J55" s="40"/>
      <c r="K55" s="41"/>
      <c r="L55" s="42"/>
      <c r="M55" s="41"/>
      <c r="N55" s="42"/>
      <c r="O55" s="41"/>
      <c r="P55" s="46"/>
      <c r="Q55" s="44"/>
      <c r="R55" s="45"/>
    </row>
    <row r="56" spans="1:18" s="26" customFormat="1" ht="18.75" customHeight="1">
      <c r="A56" s="226"/>
      <c r="B56" s="226"/>
      <c r="C56" s="190"/>
      <c r="D56" s="216"/>
      <c r="E56" s="217"/>
      <c r="F56" s="216"/>
      <c r="G56" s="217"/>
      <c r="H56" s="40"/>
      <c r="I56" s="42"/>
      <c r="J56" s="40"/>
      <c r="K56" s="41"/>
      <c r="L56" s="42"/>
      <c r="M56" s="42"/>
      <c r="N56" s="40"/>
      <c r="O56" s="41"/>
      <c r="P56" s="44"/>
      <c r="Q56" s="43"/>
      <c r="R56" s="51"/>
    </row>
    <row r="57" spans="1:18" s="26" customFormat="1" ht="34.5" customHeight="1" hidden="1">
      <c r="A57" s="226"/>
      <c r="B57" s="226"/>
      <c r="C57" s="190"/>
      <c r="D57" s="216"/>
      <c r="E57" s="217"/>
      <c r="F57" s="216"/>
      <c r="G57" s="217"/>
      <c r="H57" s="40"/>
      <c r="I57" s="42"/>
      <c r="J57" s="40"/>
      <c r="K57" s="41"/>
      <c r="L57" s="42"/>
      <c r="M57" s="42"/>
      <c r="N57" s="40"/>
      <c r="O57" s="41"/>
      <c r="P57" s="44"/>
      <c r="Q57" s="43"/>
      <c r="R57" s="51"/>
    </row>
    <row r="58" spans="1:18" s="26" customFormat="1" ht="46.5" customHeight="1" hidden="1">
      <c r="A58" s="226"/>
      <c r="B58" s="226"/>
      <c r="C58" s="190"/>
      <c r="D58" s="216"/>
      <c r="E58" s="217"/>
      <c r="F58" s="216"/>
      <c r="G58" s="217"/>
      <c r="H58" s="40"/>
      <c r="I58" s="42"/>
      <c r="J58" s="40"/>
      <c r="K58" s="41"/>
      <c r="L58" s="42"/>
      <c r="M58" s="42"/>
      <c r="N58" s="40"/>
      <c r="O58" s="41"/>
      <c r="P58" s="44"/>
      <c r="Q58" s="43"/>
      <c r="R58" s="51"/>
    </row>
    <row r="59" spans="1:18" s="26" customFormat="1" ht="46.5" customHeight="1" hidden="1">
      <c r="A59" s="226"/>
      <c r="B59" s="226"/>
      <c r="C59" s="190"/>
      <c r="D59" s="216"/>
      <c r="E59" s="217"/>
      <c r="F59" s="216"/>
      <c r="G59" s="217"/>
      <c r="H59" s="40"/>
      <c r="I59" s="42"/>
      <c r="J59" s="40"/>
      <c r="K59" s="41"/>
      <c r="L59" s="42"/>
      <c r="M59" s="42"/>
      <c r="N59" s="40"/>
      <c r="O59" s="41"/>
      <c r="P59" s="44"/>
      <c r="Q59" s="43"/>
      <c r="R59" s="51"/>
    </row>
    <row r="60" spans="1:18" s="26" customFormat="1" ht="46.5" customHeight="1" hidden="1">
      <c r="A60" s="226"/>
      <c r="B60" s="226"/>
      <c r="C60" s="190"/>
      <c r="D60" s="216"/>
      <c r="E60" s="217"/>
      <c r="F60" s="216"/>
      <c r="G60" s="217"/>
      <c r="H60" s="40"/>
      <c r="I60" s="42"/>
      <c r="J60" s="40"/>
      <c r="K60" s="41"/>
      <c r="L60" s="42"/>
      <c r="M60" s="42"/>
      <c r="N60" s="40"/>
      <c r="O60" s="41"/>
      <c r="P60" s="44"/>
      <c r="Q60" s="43"/>
      <c r="R60" s="51"/>
    </row>
    <row r="61" spans="1:18" s="26" customFormat="1" ht="2.25" customHeight="1" hidden="1">
      <c r="A61" s="226"/>
      <c r="B61" s="226"/>
      <c r="C61" s="190"/>
      <c r="D61" s="47"/>
      <c r="E61" s="48"/>
      <c r="F61" s="49"/>
      <c r="G61" s="50"/>
      <c r="H61" s="52"/>
      <c r="I61" s="53"/>
      <c r="J61" s="52"/>
      <c r="K61" s="56"/>
      <c r="L61" s="53"/>
      <c r="M61" s="53"/>
      <c r="N61" s="53"/>
      <c r="O61" s="56"/>
      <c r="P61" s="54"/>
      <c r="Q61" s="54"/>
      <c r="R61" s="55"/>
    </row>
    <row r="62" spans="9:18" ht="15">
      <c r="I62" s="20"/>
      <c r="J62" s="20"/>
      <c r="K62" s="20"/>
      <c r="R62" s="1">
        <v>2</v>
      </c>
    </row>
    <row r="63" ht="15">
      <c r="B63" s="1" t="s">
        <v>33</v>
      </c>
    </row>
    <row r="65" spans="1:17" ht="28.5" customHeight="1">
      <c r="A65" s="191" t="s">
        <v>35</v>
      </c>
      <c r="B65" s="191"/>
      <c r="C65" s="191"/>
      <c r="D65" s="207" t="s">
        <v>63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9"/>
      <c r="P65" s="183" t="s">
        <v>34</v>
      </c>
      <c r="Q65" s="184"/>
    </row>
    <row r="66" spans="1:17" ht="15">
      <c r="A66" s="191"/>
      <c r="B66" s="191"/>
      <c r="C66" s="191"/>
      <c r="D66" s="8">
        <v>1</v>
      </c>
      <c r="E66" s="8">
        <v>2</v>
      </c>
      <c r="F66" s="8">
        <v>3</v>
      </c>
      <c r="G66" s="8">
        <v>4</v>
      </c>
      <c r="H66" s="8">
        <v>5</v>
      </c>
      <c r="I66" s="8">
        <v>6</v>
      </c>
      <c r="J66" s="8">
        <v>7</v>
      </c>
      <c r="K66" s="8">
        <v>8</v>
      </c>
      <c r="L66" s="8">
        <v>9</v>
      </c>
      <c r="M66" s="8">
        <v>10</v>
      </c>
      <c r="N66" s="8">
        <v>11</v>
      </c>
      <c r="O66" s="8">
        <v>12</v>
      </c>
      <c r="P66" s="220"/>
      <c r="Q66" s="221"/>
    </row>
    <row r="67" spans="1:17" ht="118.5" customHeight="1">
      <c r="A67" s="222" t="s">
        <v>112</v>
      </c>
      <c r="B67" s="222"/>
      <c r="C67" s="223"/>
      <c r="D67" s="7">
        <f aca="true" t="shared" si="0" ref="D67:P67">D68</f>
        <v>900</v>
      </c>
      <c r="E67" s="7">
        <f t="shared" si="0"/>
        <v>900</v>
      </c>
      <c r="F67" s="7">
        <f t="shared" si="0"/>
        <v>900</v>
      </c>
      <c r="G67" s="7">
        <f t="shared" si="0"/>
        <v>900</v>
      </c>
      <c r="H67" s="7">
        <f t="shared" si="0"/>
        <v>900</v>
      </c>
      <c r="I67" s="7">
        <f t="shared" si="0"/>
        <v>900</v>
      </c>
      <c r="J67" s="7">
        <f t="shared" si="0"/>
        <v>900</v>
      </c>
      <c r="K67" s="7">
        <f t="shared" si="0"/>
        <v>900</v>
      </c>
      <c r="L67" s="7">
        <f t="shared" si="0"/>
        <v>930</v>
      </c>
      <c r="M67" s="7">
        <f t="shared" si="0"/>
        <v>930</v>
      </c>
      <c r="N67" s="7">
        <f t="shared" si="0"/>
        <v>930</v>
      </c>
      <c r="O67" s="7">
        <f t="shared" si="0"/>
        <v>930</v>
      </c>
      <c r="P67" s="224">
        <f t="shared" si="0"/>
        <v>910</v>
      </c>
      <c r="Q67" s="225"/>
    </row>
    <row r="68" spans="1:17" ht="50.25" customHeight="1">
      <c r="A68" s="227" t="s">
        <v>146</v>
      </c>
      <c r="B68" s="222"/>
      <c r="C68" s="223"/>
      <c r="D68" s="33">
        <v>900</v>
      </c>
      <c r="E68" s="13">
        <f aca="true" t="shared" si="1" ref="E68:O68">D68</f>
        <v>900</v>
      </c>
      <c r="F68" s="13">
        <f t="shared" si="1"/>
        <v>900</v>
      </c>
      <c r="G68" s="13">
        <f t="shared" si="1"/>
        <v>900</v>
      </c>
      <c r="H68" s="13">
        <f t="shared" si="1"/>
        <v>900</v>
      </c>
      <c r="I68" s="13">
        <f t="shared" si="1"/>
        <v>900</v>
      </c>
      <c r="J68" s="13">
        <f t="shared" si="1"/>
        <v>900</v>
      </c>
      <c r="K68" s="13">
        <f t="shared" si="1"/>
        <v>900</v>
      </c>
      <c r="L68" s="13">
        <v>930</v>
      </c>
      <c r="M68" s="13">
        <f t="shared" si="1"/>
        <v>930</v>
      </c>
      <c r="N68" s="13">
        <f t="shared" si="1"/>
        <v>930</v>
      </c>
      <c r="O68" s="13">
        <f t="shared" si="1"/>
        <v>930</v>
      </c>
      <c r="P68" s="224">
        <v>910</v>
      </c>
      <c r="Q68" s="225"/>
    </row>
    <row r="69" spans="1:17" ht="34.5" customHeight="1">
      <c r="A69" s="227" t="s">
        <v>147</v>
      </c>
      <c r="B69" s="222"/>
      <c r="C69" s="223"/>
      <c r="D69" s="13">
        <f>D68</f>
        <v>900</v>
      </c>
      <c r="E69" s="13">
        <f aca="true" t="shared" si="2" ref="E69:O69">D69</f>
        <v>900</v>
      </c>
      <c r="F69" s="13">
        <f t="shared" si="2"/>
        <v>900</v>
      </c>
      <c r="G69" s="13">
        <f t="shared" si="2"/>
        <v>900</v>
      </c>
      <c r="H69" s="13">
        <f t="shared" si="2"/>
        <v>900</v>
      </c>
      <c r="I69" s="13">
        <f t="shared" si="2"/>
        <v>900</v>
      </c>
      <c r="J69" s="13">
        <f t="shared" si="2"/>
        <v>900</v>
      </c>
      <c r="K69" s="13">
        <f t="shared" si="2"/>
        <v>900</v>
      </c>
      <c r="L69" s="13">
        <v>930</v>
      </c>
      <c r="M69" s="13">
        <f t="shared" si="2"/>
        <v>930</v>
      </c>
      <c r="N69" s="13">
        <f t="shared" si="2"/>
        <v>930</v>
      </c>
      <c r="O69" s="13">
        <f t="shared" si="2"/>
        <v>930</v>
      </c>
      <c r="P69" s="224">
        <v>910</v>
      </c>
      <c r="Q69" s="225"/>
    </row>
    <row r="70" spans="1:17" ht="42" customHeight="1">
      <c r="A70" s="227" t="s">
        <v>148</v>
      </c>
      <c r="B70" s="222"/>
      <c r="C70" s="223"/>
      <c r="D70" s="13">
        <f>D69</f>
        <v>900</v>
      </c>
      <c r="E70" s="13">
        <f aca="true" t="shared" si="3" ref="E70:O70">D70</f>
        <v>900</v>
      </c>
      <c r="F70" s="13">
        <f t="shared" si="3"/>
        <v>900</v>
      </c>
      <c r="G70" s="13">
        <f t="shared" si="3"/>
        <v>900</v>
      </c>
      <c r="H70" s="13">
        <f t="shared" si="3"/>
        <v>900</v>
      </c>
      <c r="I70" s="13">
        <f t="shared" si="3"/>
        <v>900</v>
      </c>
      <c r="J70" s="13">
        <f t="shared" si="3"/>
        <v>900</v>
      </c>
      <c r="K70" s="13">
        <f t="shared" si="3"/>
        <v>900</v>
      </c>
      <c r="L70" s="13">
        <v>930</v>
      </c>
      <c r="M70" s="13">
        <f t="shared" si="3"/>
        <v>930</v>
      </c>
      <c r="N70" s="13">
        <f t="shared" si="3"/>
        <v>930</v>
      </c>
      <c r="O70" s="13">
        <f t="shared" si="3"/>
        <v>930</v>
      </c>
      <c r="P70" s="224">
        <v>910</v>
      </c>
      <c r="Q70" s="225"/>
    </row>
    <row r="71" ht="15" hidden="1"/>
    <row r="72" ht="15.75" thickBot="1"/>
    <row r="73" spans="1:2" ht="15">
      <c r="A73" s="10" t="s">
        <v>64</v>
      </c>
      <c r="B73" s="11" t="s">
        <v>154</v>
      </c>
    </row>
    <row r="75" ht="15" hidden="1"/>
    <row r="76" spans="1:18" ht="27.75" customHeight="1">
      <c r="A76" s="228" t="s">
        <v>40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</row>
    <row r="79" ht="15">
      <c r="B79" s="1" t="s">
        <v>37</v>
      </c>
    </row>
    <row r="81" ht="15">
      <c r="B81" s="1" t="s">
        <v>86</v>
      </c>
    </row>
    <row r="83" spans="1:17" ht="15" customHeight="1">
      <c r="A83" s="191" t="s">
        <v>38</v>
      </c>
      <c r="B83" s="191"/>
      <c r="C83" s="191"/>
      <c r="D83" s="207" t="s">
        <v>63</v>
      </c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9"/>
      <c r="P83" s="183" t="s">
        <v>39</v>
      </c>
      <c r="Q83" s="184"/>
    </row>
    <row r="84" spans="1:17" ht="15">
      <c r="A84" s="191"/>
      <c r="B84" s="191"/>
      <c r="C84" s="191"/>
      <c r="D84" s="8">
        <v>1</v>
      </c>
      <c r="E84" s="8">
        <v>2</v>
      </c>
      <c r="F84" s="8">
        <v>3</v>
      </c>
      <c r="G84" s="8">
        <v>4</v>
      </c>
      <c r="H84" s="8">
        <v>5</v>
      </c>
      <c r="I84" s="8">
        <v>6</v>
      </c>
      <c r="J84" s="8">
        <v>7</v>
      </c>
      <c r="K84" s="8">
        <v>8</v>
      </c>
      <c r="L84" s="8">
        <v>9</v>
      </c>
      <c r="M84" s="8">
        <v>10</v>
      </c>
      <c r="N84" s="8">
        <v>11</v>
      </c>
      <c r="O84" s="8">
        <v>12</v>
      </c>
      <c r="P84" s="220"/>
      <c r="Q84" s="221"/>
    </row>
    <row r="85" spans="1:17" ht="91.5" customHeight="1">
      <c r="A85" s="222" t="s">
        <v>113</v>
      </c>
      <c r="B85" s="222"/>
      <c r="C85" s="223"/>
      <c r="D85" s="97">
        <f aca="true" t="shared" si="4" ref="D85:P85">D108+D120</f>
        <v>1492831.51</v>
      </c>
      <c r="E85" s="97">
        <f t="shared" si="4"/>
        <v>2609571.73</v>
      </c>
      <c r="F85" s="97">
        <f t="shared" si="4"/>
        <v>2652949.76</v>
      </c>
      <c r="G85" s="97">
        <f t="shared" si="4"/>
        <v>3081303.37</v>
      </c>
      <c r="H85" s="97">
        <f t="shared" si="4"/>
        <v>2971293.51</v>
      </c>
      <c r="I85" s="97">
        <f t="shared" si="4"/>
        <v>5406362.12</v>
      </c>
      <c r="J85" s="97">
        <f t="shared" si="4"/>
        <v>2437687.58</v>
      </c>
      <c r="K85" s="97">
        <f t="shared" si="4"/>
        <v>120273.57999999999</v>
      </c>
      <c r="L85" s="97">
        <f t="shared" si="4"/>
        <v>1453900.84</v>
      </c>
      <c r="M85" s="97">
        <f t="shared" si="4"/>
        <v>2952241.04</v>
      </c>
      <c r="N85" s="97">
        <f t="shared" si="4"/>
        <v>2664104.05</v>
      </c>
      <c r="O85" s="97">
        <f t="shared" si="4"/>
        <v>1148880.91</v>
      </c>
      <c r="P85" s="229">
        <f t="shared" si="4"/>
        <v>28991399.999999996</v>
      </c>
      <c r="Q85" s="230"/>
    </row>
    <row r="86" ht="15" hidden="1"/>
    <row r="87" ht="15.75" thickBot="1"/>
    <row r="88" spans="1:13" ht="15">
      <c r="A88" s="10" t="s">
        <v>64</v>
      </c>
      <c r="B88" s="11" t="s">
        <v>154</v>
      </c>
      <c r="M88" s="1" t="s">
        <v>92</v>
      </c>
    </row>
    <row r="90" spans="1:18" ht="29.25" customHeight="1">
      <c r="A90" s="228" t="s">
        <v>40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</row>
    <row r="94" ht="15">
      <c r="B94" s="1" t="s">
        <v>41</v>
      </c>
    </row>
    <row r="96" spans="1:17" ht="15" customHeight="1">
      <c r="A96" s="191" t="s">
        <v>35</v>
      </c>
      <c r="B96" s="191"/>
      <c r="C96" s="191" t="s">
        <v>42</v>
      </c>
      <c r="D96" s="207" t="s">
        <v>65</v>
      </c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9"/>
      <c r="P96" s="191" t="s">
        <v>39</v>
      </c>
      <c r="Q96" s="191"/>
    </row>
    <row r="97" spans="1:17" ht="41.25" customHeight="1">
      <c r="A97" s="191"/>
      <c r="B97" s="191"/>
      <c r="C97" s="191"/>
      <c r="D97" s="8">
        <v>1</v>
      </c>
      <c r="E97" s="8">
        <v>2</v>
      </c>
      <c r="F97" s="8">
        <v>3</v>
      </c>
      <c r="G97" s="8">
        <v>4</v>
      </c>
      <c r="H97" s="8">
        <v>5</v>
      </c>
      <c r="I97" s="8">
        <v>6</v>
      </c>
      <c r="J97" s="8">
        <v>7</v>
      </c>
      <c r="K97" s="8">
        <v>8</v>
      </c>
      <c r="L97" s="8">
        <v>9</v>
      </c>
      <c r="M97" s="8">
        <v>10</v>
      </c>
      <c r="N97" s="8">
        <v>11</v>
      </c>
      <c r="O97" s="8">
        <v>12</v>
      </c>
      <c r="P97" s="191"/>
      <c r="Q97" s="191"/>
    </row>
    <row r="98" spans="1:17" ht="41.25" customHeight="1">
      <c r="A98" s="231" t="s">
        <v>142</v>
      </c>
      <c r="B98" s="232"/>
      <c r="C98" s="12" t="s">
        <v>43</v>
      </c>
      <c r="D98" s="34">
        <f aca="true" t="shared" si="5" ref="D98:O98">ROUND(D99/D67,2)</f>
        <v>47.28</v>
      </c>
      <c r="E98" s="34">
        <f t="shared" si="5"/>
        <v>157.73</v>
      </c>
      <c r="F98" s="34">
        <f t="shared" si="5"/>
        <v>157.72</v>
      </c>
      <c r="G98" s="34">
        <f t="shared" si="5"/>
        <v>157.74</v>
      </c>
      <c r="H98" s="34">
        <f t="shared" si="5"/>
        <v>157.74</v>
      </c>
      <c r="I98" s="34">
        <f t="shared" si="5"/>
        <v>701.45</v>
      </c>
      <c r="J98" s="34">
        <f t="shared" si="5"/>
        <v>39.55</v>
      </c>
      <c r="K98" s="34">
        <f t="shared" si="5"/>
        <v>0</v>
      </c>
      <c r="L98" s="34">
        <f t="shared" si="5"/>
        <v>45.75</v>
      </c>
      <c r="M98" s="34">
        <f t="shared" si="5"/>
        <v>148.16</v>
      </c>
      <c r="N98" s="34">
        <f t="shared" si="5"/>
        <v>133.99</v>
      </c>
      <c r="O98" s="34">
        <f t="shared" si="5"/>
        <v>110</v>
      </c>
      <c r="P98" s="235">
        <f aca="true" t="shared" si="6" ref="P98:P108">SUM(D98:O98)</f>
        <v>1857.1100000000001</v>
      </c>
      <c r="Q98" s="235"/>
    </row>
    <row r="99" spans="1:18" ht="72.75" customHeight="1">
      <c r="A99" s="233"/>
      <c r="B99" s="234"/>
      <c r="C99" s="12" t="s">
        <v>44</v>
      </c>
      <c r="D99" s="35">
        <f>бланк!C58</f>
        <v>42550</v>
      </c>
      <c r="E99" s="35">
        <f>бланк!D58</f>
        <v>141956</v>
      </c>
      <c r="F99" s="35">
        <f>бланк!E58</f>
        <v>141951</v>
      </c>
      <c r="G99" s="35">
        <f>бланк!G58</f>
        <v>141966</v>
      </c>
      <c r="H99" s="35">
        <f>бланк!H58</f>
        <v>141966</v>
      </c>
      <c r="I99" s="35">
        <f>бланк!I58</f>
        <v>631302</v>
      </c>
      <c r="J99" s="35">
        <f>бланк!K58</f>
        <v>35594</v>
      </c>
      <c r="K99" s="35">
        <f>бланк!L58</f>
        <v>0</v>
      </c>
      <c r="L99" s="35">
        <f>бланк!M58</f>
        <v>42550</v>
      </c>
      <c r="M99" s="35">
        <f>бланк!O58</f>
        <v>137792.31</v>
      </c>
      <c r="N99" s="35">
        <f>бланк!P58</f>
        <v>124614.46</v>
      </c>
      <c r="O99" s="35">
        <f>бланк!Q58</f>
        <v>102295.59</v>
      </c>
      <c r="P99" s="235">
        <f t="shared" si="6"/>
        <v>1684537.36</v>
      </c>
      <c r="Q99" s="235"/>
      <c r="R99" s="156"/>
    </row>
    <row r="100" spans="1:17" ht="54.75" customHeight="1">
      <c r="A100" s="231" t="s">
        <v>143</v>
      </c>
      <c r="B100" s="232"/>
      <c r="C100" s="12" t="s">
        <v>43</v>
      </c>
      <c r="D100" s="34">
        <f aca="true" t="shared" si="7" ref="D100:O100">ROUND(D101/D67,2)</f>
        <v>398.04</v>
      </c>
      <c r="E100" s="34">
        <f t="shared" si="7"/>
        <v>1355.64</v>
      </c>
      <c r="F100" s="34">
        <f t="shared" si="7"/>
        <v>1355.64</v>
      </c>
      <c r="G100" s="34">
        <f t="shared" si="7"/>
        <v>1516.39</v>
      </c>
      <c r="H100" s="34">
        <f t="shared" si="7"/>
        <v>1360.08</v>
      </c>
      <c r="I100" s="34">
        <f t="shared" si="7"/>
        <v>3590.6</v>
      </c>
      <c r="J100" s="34">
        <f t="shared" si="7"/>
        <v>977.67</v>
      </c>
      <c r="K100" s="34">
        <f t="shared" si="7"/>
        <v>0</v>
      </c>
      <c r="L100" s="34">
        <f t="shared" si="7"/>
        <v>971.74</v>
      </c>
      <c r="M100" s="34">
        <f t="shared" si="7"/>
        <v>935.58</v>
      </c>
      <c r="N100" s="34">
        <f t="shared" si="7"/>
        <v>1055.94</v>
      </c>
      <c r="O100" s="34">
        <f t="shared" si="7"/>
        <v>0</v>
      </c>
      <c r="P100" s="235">
        <f t="shared" si="6"/>
        <v>13517.32</v>
      </c>
      <c r="Q100" s="235"/>
    </row>
    <row r="101" spans="1:17" ht="64.5" customHeight="1">
      <c r="A101" s="233"/>
      <c r="B101" s="234"/>
      <c r="C101" s="12" t="s">
        <v>44</v>
      </c>
      <c r="D101" s="35">
        <f>бланк!C57</f>
        <v>358239</v>
      </c>
      <c r="E101" s="35">
        <f>бланк!D57</f>
        <v>1220074</v>
      </c>
      <c r="F101" s="35">
        <f>бланк!E57</f>
        <v>1220074</v>
      </c>
      <c r="G101" s="35">
        <f>бланк!G57</f>
        <v>1364748</v>
      </c>
      <c r="H101" s="35">
        <f>бланк!H57</f>
        <v>1224074</v>
      </c>
      <c r="I101" s="35">
        <f>бланк!I57</f>
        <v>3231538</v>
      </c>
      <c r="J101" s="35">
        <f>бланк!K57</f>
        <v>879907.34</v>
      </c>
      <c r="K101" s="35">
        <f>бланк!L57</f>
        <v>0</v>
      </c>
      <c r="L101" s="35">
        <f>бланк!M57</f>
        <v>903722</v>
      </c>
      <c r="M101" s="35">
        <f>бланк!O57</f>
        <v>870090</v>
      </c>
      <c r="N101" s="35">
        <f>бланк!P57</f>
        <v>982022</v>
      </c>
      <c r="O101" s="35">
        <f>бланк!Q57</f>
        <v>0</v>
      </c>
      <c r="P101" s="235">
        <f t="shared" si="6"/>
        <v>12254488.34</v>
      </c>
      <c r="Q101" s="235"/>
    </row>
    <row r="102" spans="1:17" ht="41.25" customHeight="1">
      <c r="A102" s="236" t="s">
        <v>144</v>
      </c>
      <c r="B102" s="236"/>
      <c r="C102" s="12" t="s">
        <v>43</v>
      </c>
      <c r="D102" s="34">
        <f aca="true" t="shared" si="8" ref="D102:O102">ROUND(D103/D67,2)</f>
        <v>395.33</v>
      </c>
      <c r="E102" s="34">
        <f t="shared" si="8"/>
        <v>649.05</v>
      </c>
      <c r="F102" s="34">
        <f t="shared" si="8"/>
        <v>706.04</v>
      </c>
      <c r="G102" s="34">
        <f t="shared" si="8"/>
        <v>582.84</v>
      </c>
      <c r="H102" s="34">
        <f t="shared" si="8"/>
        <v>509.86</v>
      </c>
      <c r="I102" s="34">
        <f t="shared" si="8"/>
        <v>1099.93</v>
      </c>
      <c r="J102" s="34">
        <f t="shared" si="8"/>
        <v>395.49</v>
      </c>
      <c r="K102" s="34">
        <f t="shared" si="8"/>
        <v>126.97</v>
      </c>
      <c r="L102" s="34">
        <f t="shared" si="8"/>
        <v>357.12</v>
      </c>
      <c r="M102" s="34">
        <f t="shared" si="8"/>
        <v>723.83</v>
      </c>
      <c r="N102" s="34">
        <f t="shared" si="8"/>
        <v>795.89</v>
      </c>
      <c r="O102" s="34">
        <f t="shared" si="8"/>
        <v>1014.96</v>
      </c>
      <c r="P102" s="235">
        <f t="shared" si="6"/>
        <v>7357.31</v>
      </c>
      <c r="Q102" s="235"/>
    </row>
    <row r="103" spans="1:17" ht="55.5" customHeight="1">
      <c r="A103" s="236"/>
      <c r="B103" s="236"/>
      <c r="C103" s="12" t="s">
        <v>44</v>
      </c>
      <c r="D103" s="35">
        <f>бланк!C54</f>
        <v>355799.52</v>
      </c>
      <c r="E103" s="35">
        <f>бланк!D54</f>
        <v>584143.23</v>
      </c>
      <c r="F103" s="35">
        <f>бланк!E54</f>
        <v>635438.48</v>
      </c>
      <c r="G103" s="35">
        <f>бланк!G54</f>
        <v>524558.94</v>
      </c>
      <c r="H103" s="35">
        <f>бланк!H54</f>
        <v>458875.51</v>
      </c>
      <c r="I103" s="35">
        <f>бланк!I54</f>
        <v>989935.3099999999</v>
      </c>
      <c r="J103" s="35">
        <f>бланк!K54</f>
        <v>355942.58</v>
      </c>
      <c r="K103" s="35">
        <f>бланк!L54</f>
        <v>114273.57999999999</v>
      </c>
      <c r="L103" s="35">
        <f>бланк!M54</f>
        <v>332118.52</v>
      </c>
      <c r="M103" s="35">
        <f>бланк!O54</f>
        <v>673166.23</v>
      </c>
      <c r="N103" s="35">
        <f>бланк!P54</f>
        <v>740179.08</v>
      </c>
      <c r="O103" s="35">
        <f>бланк!Q54</f>
        <v>943915.5299999999</v>
      </c>
      <c r="P103" s="235">
        <f t="shared" si="6"/>
        <v>6708346.510000001</v>
      </c>
      <c r="Q103" s="235"/>
    </row>
    <row r="104" spans="1:17" ht="40.5" customHeight="1" hidden="1">
      <c r="A104" s="236" t="s">
        <v>87</v>
      </c>
      <c r="B104" s="236"/>
      <c r="C104" s="59" t="s">
        <v>43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235">
        <f t="shared" si="6"/>
        <v>0</v>
      </c>
      <c r="Q104" s="235"/>
    </row>
    <row r="105" spans="1:17" ht="52.5" customHeight="1" hidden="1">
      <c r="A105" s="236"/>
      <c r="B105" s="236"/>
      <c r="C105" s="59" t="s">
        <v>44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235">
        <f t="shared" si="6"/>
        <v>0</v>
      </c>
      <c r="Q105" s="235"/>
    </row>
    <row r="106" spans="1:17" ht="52.5" customHeight="1">
      <c r="A106" s="236" t="s">
        <v>145</v>
      </c>
      <c r="B106" s="236"/>
      <c r="C106" s="12" t="s">
        <v>43</v>
      </c>
      <c r="D106" s="34">
        <f aca="true" t="shared" si="9" ref="D106:O106">ROUND(D107/D67,2)</f>
        <v>181.84</v>
      </c>
      <c r="E106" s="34">
        <f t="shared" si="9"/>
        <v>606.53</v>
      </c>
      <c r="F106" s="34">
        <f t="shared" si="9"/>
        <v>607.64</v>
      </c>
      <c r="G106" s="34">
        <f t="shared" si="9"/>
        <v>607.65</v>
      </c>
      <c r="H106" s="34">
        <f t="shared" si="9"/>
        <v>1265.98</v>
      </c>
      <c r="I106" s="34">
        <f t="shared" si="9"/>
        <v>607.65</v>
      </c>
      <c r="J106" s="34">
        <f t="shared" si="9"/>
        <v>795.35</v>
      </c>
      <c r="K106" s="34">
        <f t="shared" si="9"/>
        <v>0</v>
      </c>
      <c r="L106" s="34">
        <f t="shared" si="9"/>
        <v>175.97</v>
      </c>
      <c r="M106" s="34">
        <f t="shared" si="9"/>
        <v>804.13</v>
      </c>
      <c r="N106" s="34">
        <f t="shared" si="9"/>
        <v>771.13</v>
      </c>
      <c r="O106" s="34">
        <f t="shared" si="9"/>
        <v>0</v>
      </c>
      <c r="P106" s="235">
        <f t="shared" si="6"/>
        <v>6423.870000000001</v>
      </c>
      <c r="Q106" s="235"/>
    </row>
    <row r="107" spans="1:17" ht="64.5" customHeight="1">
      <c r="A107" s="236"/>
      <c r="B107" s="236"/>
      <c r="C107" s="12" t="s">
        <v>44</v>
      </c>
      <c r="D107" s="35">
        <f>бланк!C53</f>
        <v>163652</v>
      </c>
      <c r="E107" s="35">
        <f>бланк!D53</f>
        <v>545881</v>
      </c>
      <c r="F107" s="35">
        <f>бланк!E53</f>
        <v>546880</v>
      </c>
      <c r="G107" s="35">
        <f>бланк!G53</f>
        <v>546881</v>
      </c>
      <c r="H107" s="35">
        <f>бланк!H53</f>
        <v>1139378</v>
      </c>
      <c r="I107" s="35">
        <f>бланк!I53</f>
        <v>546881</v>
      </c>
      <c r="J107" s="35">
        <f>бланк!K53</f>
        <v>715818.6599999999</v>
      </c>
      <c r="K107" s="35">
        <f>бланк!L53</f>
        <v>0</v>
      </c>
      <c r="L107" s="35">
        <f>бланк!M53</f>
        <v>163652</v>
      </c>
      <c r="M107" s="35">
        <f>бланк!O53</f>
        <v>747841</v>
      </c>
      <c r="N107" s="35">
        <f>бланк!P53</f>
        <v>717147</v>
      </c>
      <c r="O107" s="35">
        <f>бланк!Q53</f>
        <v>0</v>
      </c>
      <c r="P107" s="235">
        <f t="shared" si="6"/>
        <v>5834011.66</v>
      </c>
      <c r="Q107" s="235"/>
    </row>
    <row r="108" spans="1:17" ht="77.25" customHeight="1">
      <c r="A108" s="236" t="s">
        <v>45</v>
      </c>
      <c r="B108" s="236"/>
      <c r="C108" s="59" t="s">
        <v>46</v>
      </c>
      <c r="D108" s="34">
        <f aca="true" t="shared" si="10" ref="D108:O108">D105+D103+D99+D107+D101</f>
        <v>920240.52</v>
      </c>
      <c r="E108" s="34">
        <f t="shared" si="10"/>
        <v>2492054.23</v>
      </c>
      <c r="F108" s="34">
        <f t="shared" si="10"/>
        <v>2544343.48</v>
      </c>
      <c r="G108" s="34">
        <f t="shared" si="10"/>
        <v>2578153.94</v>
      </c>
      <c r="H108" s="34">
        <f t="shared" si="10"/>
        <v>2964293.51</v>
      </c>
      <c r="I108" s="34">
        <f t="shared" si="10"/>
        <v>5399656.3100000005</v>
      </c>
      <c r="J108" s="34">
        <f t="shared" si="10"/>
        <v>1987262.58</v>
      </c>
      <c r="K108" s="34">
        <f t="shared" si="10"/>
        <v>114273.57999999999</v>
      </c>
      <c r="L108" s="34">
        <f t="shared" si="10"/>
        <v>1442042.52</v>
      </c>
      <c r="M108" s="34">
        <f t="shared" si="10"/>
        <v>2428889.54</v>
      </c>
      <c r="N108" s="34">
        <f t="shared" si="10"/>
        <v>2563962.54</v>
      </c>
      <c r="O108" s="34">
        <f t="shared" si="10"/>
        <v>1046211.1199999999</v>
      </c>
      <c r="P108" s="235">
        <f t="shared" si="6"/>
        <v>26481383.869999997</v>
      </c>
      <c r="Q108" s="235"/>
    </row>
    <row r="109" ht="15.75" thickBot="1"/>
    <row r="110" spans="1:2" ht="21" customHeight="1">
      <c r="A110" s="10" t="s">
        <v>64</v>
      </c>
      <c r="B110" s="11" t="s">
        <v>154</v>
      </c>
    </row>
    <row r="113" spans="1:18" ht="29.25" customHeight="1">
      <c r="A113" s="228" t="s">
        <v>40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</row>
    <row r="116" ht="15">
      <c r="B116" s="1" t="s">
        <v>47</v>
      </c>
    </row>
    <row r="118" spans="1:17" ht="15" customHeight="1">
      <c r="A118" s="191" t="s">
        <v>35</v>
      </c>
      <c r="B118" s="191"/>
      <c r="C118" s="191"/>
      <c r="D118" s="207" t="s">
        <v>65</v>
      </c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9"/>
      <c r="P118" s="183" t="s">
        <v>39</v>
      </c>
      <c r="Q118" s="184"/>
    </row>
    <row r="119" spans="1:17" ht="15">
      <c r="A119" s="191"/>
      <c r="B119" s="191"/>
      <c r="C119" s="191"/>
      <c r="D119" s="8">
        <v>1</v>
      </c>
      <c r="E119" s="8">
        <v>2</v>
      </c>
      <c r="F119" s="8">
        <v>3</v>
      </c>
      <c r="G119" s="8">
        <v>4</v>
      </c>
      <c r="H119" s="8">
        <v>5</v>
      </c>
      <c r="I119" s="8">
        <v>6</v>
      </c>
      <c r="J119" s="8">
        <v>7</v>
      </c>
      <c r="K119" s="8">
        <v>8</v>
      </c>
      <c r="L119" s="8">
        <v>9</v>
      </c>
      <c r="M119" s="8">
        <v>10</v>
      </c>
      <c r="N119" s="8">
        <v>11</v>
      </c>
      <c r="O119" s="8">
        <v>12</v>
      </c>
      <c r="P119" s="220"/>
      <c r="Q119" s="221"/>
    </row>
    <row r="120" spans="1:17" ht="94.5" customHeight="1">
      <c r="A120" s="239" t="s">
        <v>114</v>
      </c>
      <c r="B120" s="239"/>
      <c r="C120" s="240"/>
      <c r="D120" s="36">
        <f aca="true" t="shared" si="11" ref="D120:O120">D121</f>
        <v>572590.99</v>
      </c>
      <c r="E120" s="36">
        <f t="shared" si="11"/>
        <v>117517.5</v>
      </c>
      <c r="F120" s="36">
        <f t="shared" si="11"/>
        <v>108606.28</v>
      </c>
      <c r="G120" s="36">
        <f t="shared" si="11"/>
        <v>503149.43</v>
      </c>
      <c r="H120" s="36">
        <f t="shared" si="11"/>
        <v>7000</v>
      </c>
      <c r="I120" s="36">
        <f t="shared" si="11"/>
        <v>6705.81</v>
      </c>
      <c r="J120" s="36">
        <f t="shared" si="11"/>
        <v>450425</v>
      </c>
      <c r="K120" s="36">
        <f t="shared" si="11"/>
        <v>6000</v>
      </c>
      <c r="L120" s="36">
        <f t="shared" si="11"/>
        <v>11858.32</v>
      </c>
      <c r="M120" s="36">
        <f t="shared" si="11"/>
        <v>523351.5</v>
      </c>
      <c r="N120" s="36">
        <f t="shared" si="11"/>
        <v>100141.51</v>
      </c>
      <c r="O120" s="36">
        <f t="shared" si="11"/>
        <v>102669.79</v>
      </c>
      <c r="P120" s="224">
        <f>SUM(D120:O120)</f>
        <v>2510016.13</v>
      </c>
      <c r="Q120" s="225"/>
    </row>
    <row r="121" spans="1:17" ht="39.75" customHeight="1">
      <c r="A121" s="227" t="s">
        <v>87</v>
      </c>
      <c r="B121" s="222"/>
      <c r="C121" s="223"/>
      <c r="D121" s="37">
        <f>бланк!C62</f>
        <v>572590.99</v>
      </c>
      <c r="E121" s="37">
        <f>бланк!D62</f>
        <v>117517.5</v>
      </c>
      <c r="F121" s="37">
        <f>бланк!E62</f>
        <v>108606.28</v>
      </c>
      <c r="G121" s="37">
        <f>бланк!G62</f>
        <v>503149.43</v>
      </c>
      <c r="H121" s="37">
        <f>бланк!H62</f>
        <v>7000</v>
      </c>
      <c r="I121" s="37">
        <f>бланк!I62</f>
        <v>6705.81</v>
      </c>
      <c r="J121" s="37">
        <f>бланк!K62</f>
        <v>450425</v>
      </c>
      <c r="K121" s="37">
        <f>бланк!L62</f>
        <v>6000</v>
      </c>
      <c r="L121" s="37">
        <f>бланк!M62</f>
        <v>11858.32</v>
      </c>
      <c r="M121" s="37">
        <f>бланк!O62</f>
        <v>523351.5</v>
      </c>
      <c r="N121" s="37">
        <f>бланк!P62</f>
        <v>100141.51</v>
      </c>
      <c r="O121" s="37">
        <f>бланк!Q62</f>
        <v>102669.79</v>
      </c>
      <c r="P121" s="237">
        <f>SUM(D121:O121)</f>
        <v>2510016.13</v>
      </c>
      <c r="Q121" s="238"/>
    </row>
    <row r="122" ht="15.75" thickBot="1"/>
    <row r="123" spans="1:2" ht="15">
      <c r="A123" s="10" t="s">
        <v>64</v>
      </c>
      <c r="B123" s="11" t="s">
        <v>154</v>
      </c>
    </row>
    <row r="125" spans="1:18" ht="33" customHeight="1">
      <c r="A125" s="228" t="s">
        <v>40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</row>
    <row r="128" ht="15">
      <c r="B128" s="1" t="s">
        <v>48</v>
      </c>
    </row>
    <row r="130" spans="1:17" ht="15" customHeight="1">
      <c r="A130" s="243" t="s">
        <v>49</v>
      </c>
      <c r="B130" s="243"/>
      <c r="C130" s="243"/>
      <c r="D130" s="243" t="s">
        <v>65</v>
      </c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 t="s">
        <v>39</v>
      </c>
      <c r="Q130" s="243"/>
    </row>
    <row r="131" spans="1:17" ht="15">
      <c r="A131" s="243"/>
      <c r="B131" s="243"/>
      <c r="C131" s="243"/>
      <c r="D131" s="163">
        <v>1</v>
      </c>
      <c r="E131" s="163">
        <v>2</v>
      </c>
      <c r="F131" s="163">
        <v>3</v>
      </c>
      <c r="G131" s="163">
        <v>4</v>
      </c>
      <c r="H131" s="163">
        <v>5</v>
      </c>
      <c r="I131" s="163">
        <v>6</v>
      </c>
      <c r="J131" s="163">
        <v>7</v>
      </c>
      <c r="K131" s="163">
        <v>8</v>
      </c>
      <c r="L131" s="163">
        <v>9</v>
      </c>
      <c r="M131" s="163">
        <v>10</v>
      </c>
      <c r="N131" s="163">
        <v>11</v>
      </c>
      <c r="O131" s="163">
        <v>12</v>
      </c>
      <c r="P131" s="243"/>
      <c r="Q131" s="243"/>
    </row>
    <row r="132" spans="1:17" ht="96.75" customHeight="1">
      <c r="A132" s="241" t="s">
        <v>212</v>
      </c>
      <c r="B132" s="241"/>
      <c r="C132" s="241"/>
      <c r="D132" s="164">
        <f aca="true" t="shared" si="12" ref="D132:I132">D134+D135+D136+D137+D139+D140+D141+D142+D143+D144+D145</f>
        <v>123360</v>
      </c>
      <c r="E132" s="164">
        <f t="shared" si="12"/>
        <v>171260</v>
      </c>
      <c r="F132" s="164">
        <f t="shared" si="12"/>
        <v>208659</v>
      </c>
      <c r="G132" s="164">
        <f t="shared" si="12"/>
        <v>276260</v>
      </c>
      <c r="H132" s="164">
        <f t="shared" si="12"/>
        <v>269653</v>
      </c>
      <c r="I132" s="164">
        <f t="shared" si="12"/>
        <v>183946</v>
      </c>
      <c r="J132" s="164">
        <f aca="true" t="shared" si="13" ref="J132:O132">J134+J135+J136+J137+J139+J140+J141+J142+J143+J144+J145</f>
        <v>152240</v>
      </c>
      <c r="K132" s="164">
        <f t="shared" si="13"/>
        <v>3360</v>
      </c>
      <c r="L132" s="164">
        <f t="shared" si="13"/>
        <v>446174</v>
      </c>
      <c r="M132" s="164">
        <f t="shared" si="13"/>
        <v>256260</v>
      </c>
      <c r="N132" s="164">
        <f t="shared" si="13"/>
        <v>246260</v>
      </c>
      <c r="O132" s="164">
        <f t="shared" si="13"/>
        <v>355538</v>
      </c>
      <c r="P132" s="242">
        <f>SUM(P134:Q145)</f>
        <v>2692970</v>
      </c>
      <c r="Q132" s="242"/>
    </row>
    <row r="133" spans="1:17" ht="53.25" customHeight="1" hidden="1">
      <c r="A133" s="241" t="s">
        <v>137</v>
      </c>
      <c r="B133" s="241"/>
      <c r="C133" s="241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242">
        <f>SUM(D133:O133)</f>
        <v>0</v>
      </c>
      <c r="Q133" s="242"/>
    </row>
    <row r="134" spans="1:17" ht="37.5" customHeight="1">
      <c r="A134" s="241" t="s">
        <v>181</v>
      </c>
      <c r="B134" s="241"/>
      <c r="C134" s="241"/>
      <c r="D134" s="164"/>
      <c r="E134" s="164">
        <v>37900</v>
      </c>
      <c r="F134" s="164">
        <v>37900</v>
      </c>
      <c r="G134" s="164">
        <v>37900</v>
      </c>
      <c r="H134" s="164">
        <v>37900</v>
      </c>
      <c r="I134" s="164">
        <v>75900</v>
      </c>
      <c r="J134" s="164">
        <v>75800</v>
      </c>
      <c r="K134" s="164"/>
      <c r="L134" s="164"/>
      <c r="M134" s="164">
        <v>37900</v>
      </c>
      <c r="N134" s="164">
        <v>37900</v>
      </c>
      <c r="O134" s="164">
        <v>80200</v>
      </c>
      <c r="P134" s="242">
        <f>SUM(D134:O134)</f>
        <v>459300</v>
      </c>
      <c r="Q134" s="242"/>
    </row>
    <row r="135" spans="1:18" ht="38.25" customHeight="1">
      <c r="A135" s="245" t="s">
        <v>88</v>
      </c>
      <c r="B135" s="245"/>
      <c r="C135" s="245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242">
        <f aca="true" t="shared" si="14" ref="P135:P140">SUM(D135:O135)</f>
        <v>0</v>
      </c>
      <c r="Q135" s="242"/>
      <c r="R135" s="159"/>
    </row>
    <row r="136" spans="1:18" ht="36.75" customHeight="1" hidden="1">
      <c r="A136" s="245" t="s">
        <v>89</v>
      </c>
      <c r="B136" s="245"/>
      <c r="C136" s="245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242">
        <f t="shared" si="14"/>
        <v>0</v>
      </c>
      <c r="Q136" s="242"/>
      <c r="R136" s="159"/>
    </row>
    <row r="137" spans="1:18" ht="53.25" customHeight="1" hidden="1">
      <c r="A137" s="244" t="s">
        <v>103</v>
      </c>
      <c r="B137" s="244"/>
      <c r="C137" s="24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242">
        <f>SUM(D137:O137)</f>
        <v>0</v>
      </c>
      <c r="Q137" s="242"/>
      <c r="R137" s="159"/>
    </row>
    <row r="138" spans="1:18" ht="53.25" customHeight="1" hidden="1">
      <c r="A138" s="244" t="s">
        <v>138</v>
      </c>
      <c r="B138" s="244"/>
      <c r="C138" s="24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242">
        <f>SUM(D138:O138)</f>
        <v>0</v>
      </c>
      <c r="Q138" s="242"/>
      <c r="R138" s="159"/>
    </row>
    <row r="139" spans="1:18" ht="32.25" customHeight="1">
      <c r="A139" s="245" t="s">
        <v>90</v>
      </c>
      <c r="B139" s="245"/>
      <c r="C139" s="245"/>
      <c r="D139" s="164"/>
      <c r="E139" s="164">
        <v>10000</v>
      </c>
      <c r="F139" s="164">
        <v>27200</v>
      </c>
      <c r="G139" s="164">
        <v>15000</v>
      </c>
      <c r="H139" s="164">
        <v>25000</v>
      </c>
      <c r="I139" s="164">
        <v>26960</v>
      </c>
      <c r="J139" s="164"/>
      <c r="K139" s="164"/>
      <c r="L139" s="164">
        <v>42160</v>
      </c>
      <c r="M139" s="164">
        <v>15000</v>
      </c>
      <c r="N139" s="164">
        <v>15000</v>
      </c>
      <c r="O139" s="164">
        <v>34480</v>
      </c>
      <c r="P139" s="242">
        <f t="shared" si="14"/>
        <v>210800</v>
      </c>
      <c r="Q139" s="242"/>
      <c r="R139" s="159"/>
    </row>
    <row r="140" spans="1:18" ht="49.5" customHeight="1" hidden="1">
      <c r="A140" s="245" t="s">
        <v>91</v>
      </c>
      <c r="B140" s="245"/>
      <c r="C140" s="245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242">
        <f t="shared" si="14"/>
        <v>0</v>
      </c>
      <c r="Q140" s="242"/>
      <c r="R140" s="159"/>
    </row>
    <row r="141" spans="1:18" ht="38.25" customHeight="1">
      <c r="A141" s="244" t="s">
        <v>139</v>
      </c>
      <c r="B141" s="244"/>
      <c r="C141" s="244"/>
      <c r="D141" s="164">
        <v>50000</v>
      </c>
      <c r="E141" s="164">
        <v>50000</v>
      </c>
      <c r="F141" s="164">
        <v>73340</v>
      </c>
      <c r="G141" s="164">
        <v>70000</v>
      </c>
      <c r="H141" s="164">
        <v>50000</v>
      </c>
      <c r="I141" s="164">
        <v>46406</v>
      </c>
      <c r="J141" s="164"/>
      <c r="K141" s="164"/>
      <c r="L141" s="164">
        <v>131738</v>
      </c>
      <c r="M141" s="164">
        <v>50000</v>
      </c>
      <c r="N141" s="164">
        <v>90000</v>
      </c>
      <c r="O141" s="164">
        <v>95716</v>
      </c>
      <c r="P141" s="242">
        <f>SUM(D141:O141)</f>
        <v>707200</v>
      </c>
      <c r="Q141" s="242"/>
      <c r="R141" s="160"/>
    </row>
    <row r="142" spans="1:18" ht="72" customHeight="1">
      <c r="A142" s="244" t="s">
        <v>140</v>
      </c>
      <c r="B142" s="244"/>
      <c r="C142" s="244"/>
      <c r="D142" s="164">
        <v>70000</v>
      </c>
      <c r="E142" s="164">
        <v>70000</v>
      </c>
      <c r="F142" s="164">
        <v>66859</v>
      </c>
      <c r="G142" s="164">
        <v>150000</v>
      </c>
      <c r="H142" s="164">
        <v>153393</v>
      </c>
      <c r="I142" s="164"/>
      <c r="J142" s="164"/>
      <c r="K142" s="164"/>
      <c r="L142" s="164">
        <v>268916</v>
      </c>
      <c r="M142" s="164">
        <v>150000</v>
      </c>
      <c r="N142" s="164">
        <v>100000</v>
      </c>
      <c r="O142" s="164">
        <v>143032</v>
      </c>
      <c r="P142" s="242">
        <f>SUM(D142:O142)</f>
        <v>1172200</v>
      </c>
      <c r="Q142" s="242"/>
      <c r="R142" s="159"/>
    </row>
    <row r="143" spans="1:18" ht="120" customHeight="1">
      <c r="A143" s="246" t="s">
        <v>180</v>
      </c>
      <c r="B143" s="246"/>
      <c r="C143" s="246"/>
      <c r="D143" s="164">
        <v>3360</v>
      </c>
      <c r="E143" s="164">
        <v>3360</v>
      </c>
      <c r="F143" s="164">
        <v>3360</v>
      </c>
      <c r="G143" s="164">
        <v>3360</v>
      </c>
      <c r="H143" s="164">
        <v>3360</v>
      </c>
      <c r="I143" s="164">
        <v>3360</v>
      </c>
      <c r="J143" s="164">
        <v>3360</v>
      </c>
      <c r="K143" s="164">
        <v>3360</v>
      </c>
      <c r="L143" s="164">
        <v>3360</v>
      </c>
      <c r="M143" s="164">
        <v>3360</v>
      </c>
      <c r="N143" s="164">
        <v>3360</v>
      </c>
      <c r="O143" s="164">
        <v>2110</v>
      </c>
      <c r="P143" s="242">
        <f>SUM(D143:O143)</f>
        <v>39070</v>
      </c>
      <c r="Q143" s="242"/>
      <c r="R143" s="159"/>
    </row>
    <row r="144" spans="1:19" ht="78" customHeight="1">
      <c r="A144" s="246" t="s">
        <v>213</v>
      </c>
      <c r="B144" s="246"/>
      <c r="C144" s="246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242">
        <f>SUM(D144:O144)</f>
        <v>0</v>
      </c>
      <c r="Q144" s="242"/>
      <c r="R144" s="159"/>
      <c r="S144" s="156"/>
    </row>
    <row r="145" spans="1:18" ht="39.75" customHeight="1">
      <c r="A145" s="256" t="s">
        <v>138</v>
      </c>
      <c r="B145" s="256"/>
      <c r="C145" s="256"/>
      <c r="D145" s="165"/>
      <c r="E145" s="165"/>
      <c r="F145" s="165"/>
      <c r="G145" s="165"/>
      <c r="H145" s="165"/>
      <c r="I145" s="164">
        <v>31320</v>
      </c>
      <c r="J145" s="164">
        <v>73080</v>
      </c>
      <c r="K145" s="165"/>
      <c r="L145" s="165"/>
      <c r="M145" s="165"/>
      <c r="N145" s="165"/>
      <c r="O145" s="165"/>
      <c r="P145" s="242">
        <f>SUM(D145:O145)</f>
        <v>104400</v>
      </c>
      <c r="Q145" s="242"/>
      <c r="R145" s="161"/>
    </row>
    <row r="146" spans="1:17" ht="15" hidden="1">
      <c r="A146" s="227" t="s">
        <v>36</v>
      </c>
      <c r="B146" s="222"/>
      <c r="C146" s="22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24"/>
      <c r="Q146" s="225"/>
    </row>
    <row r="147" spans="1:17" ht="28.5" customHeight="1" hidden="1">
      <c r="A147" s="227" t="s">
        <v>50</v>
      </c>
      <c r="B147" s="222"/>
      <c r="C147" s="22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24"/>
      <c r="Q147" s="225"/>
    </row>
    <row r="148" ht="15.75" thickBot="1"/>
    <row r="149" spans="1:2" ht="15">
      <c r="A149" s="10" t="s">
        <v>64</v>
      </c>
      <c r="B149" s="11" t="s">
        <v>154</v>
      </c>
    </row>
    <row r="151" spans="1:18" ht="29.25" customHeight="1">
      <c r="A151" s="228" t="s">
        <v>40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</row>
    <row r="154" ht="15">
      <c r="B154" s="1" t="s">
        <v>51</v>
      </c>
    </row>
    <row r="156" ht="15">
      <c r="B156" s="1" t="s">
        <v>52</v>
      </c>
    </row>
    <row r="158" spans="1:18" ht="42.75" customHeight="1">
      <c r="A158" s="5" t="s">
        <v>53</v>
      </c>
      <c r="B158" s="191" t="s">
        <v>54</v>
      </c>
      <c r="C158" s="191"/>
      <c r="D158" s="207" t="s">
        <v>66</v>
      </c>
      <c r="E158" s="208"/>
      <c r="F158" s="191" t="s">
        <v>55</v>
      </c>
      <c r="G158" s="191"/>
      <c r="H158" s="191"/>
      <c r="I158" s="191"/>
      <c r="J158" s="191"/>
      <c r="K158" s="191"/>
      <c r="L158" s="191"/>
      <c r="M158" s="191"/>
      <c r="N158" s="208" t="s">
        <v>56</v>
      </c>
      <c r="O158" s="208"/>
      <c r="P158" s="208"/>
      <c r="Q158" s="208"/>
      <c r="R158" s="209"/>
    </row>
    <row r="159" spans="1:18" ht="27.75" customHeight="1">
      <c r="A159" s="257" t="s">
        <v>57</v>
      </c>
      <c r="B159" s="258"/>
      <c r="C159" s="258"/>
      <c r="D159" s="258"/>
      <c r="E159" s="259"/>
      <c r="F159" s="251" t="s">
        <v>58</v>
      </c>
      <c r="G159" s="252"/>
      <c r="H159" s="251" t="s">
        <v>59</v>
      </c>
      <c r="I159" s="252"/>
      <c r="J159" s="251" t="s">
        <v>60</v>
      </c>
      <c r="K159" s="252"/>
      <c r="L159" s="251" t="s">
        <v>61</v>
      </c>
      <c r="M159" s="252"/>
      <c r="N159" s="251" t="s">
        <v>58</v>
      </c>
      <c r="O159" s="252"/>
      <c r="P159" s="58" t="s">
        <v>59</v>
      </c>
      <c r="Q159" s="58" t="s">
        <v>60</v>
      </c>
      <c r="R159" s="8" t="s">
        <v>61</v>
      </c>
    </row>
    <row r="160" spans="1:18" ht="45.75" customHeight="1">
      <c r="A160" s="23">
        <v>1</v>
      </c>
      <c r="B160" s="260" t="s">
        <v>123</v>
      </c>
      <c r="C160" s="261"/>
      <c r="D160" s="191"/>
      <c r="E160" s="191"/>
      <c r="F160" s="247" t="s">
        <v>124</v>
      </c>
      <c r="G160" s="248"/>
      <c r="H160" s="249" t="s">
        <v>124</v>
      </c>
      <c r="I160" s="250"/>
      <c r="J160" s="249" t="s">
        <v>124</v>
      </c>
      <c r="K160" s="250"/>
      <c r="L160" s="249" t="s">
        <v>124</v>
      </c>
      <c r="M160" s="250"/>
      <c r="N160" s="208"/>
      <c r="O160" s="209"/>
      <c r="P160" s="58"/>
      <c r="Q160" s="58"/>
      <c r="R160" s="8"/>
    </row>
    <row r="161" spans="1:18" ht="48.75" customHeight="1">
      <c r="A161" s="4">
        <v>2</v>
      </c>
      <c r="B161" s="269" t="s">
        <v>127</v>
      </c>
      <c r="C161" s="269"/>
      <c r="D161" s="270"/>
      <c r="E161" s="271"/>
      <c r="F161" s="275" t="s">
        <v>128</v>
      </c>
      <c r="G161" s="276"/>
      <c r="H161" s="253" t="s">
        <v>128</v>
      </c>
      <c r="I161" s="254"/>
      <c r="J161" s="253" t="s">
        <v>128</v>
      </c>
      <c r="K161" s="254"/>
      <c r="L161" s="253" t="s">
        <v>128</v>
      </c>
      <c r="M161" s="254"/>
      <c r="N161" s="255"/>
      <c r="O161" s="255"/>
      <c r="P161" s="4"/>
      <c r="Q161" s="4"/>
      <c r="R161" s="24"/>
    </row>
    <row r="162" spans="1:18" ht="71.25" customHeight="1">
      <c r="A162" s="4">
        <v>3</v>
      </c>
      <c r="B162" s="269" t="s">
        <v>129</v>
      </c>
      <c r="C162" s="269"/>
      <c r="D162" s="224"/>
      <c r="E162" s="225"/>
      <c r="F162" s="273" t="s">
        <v>122</v>
      </c>
      <c r="G162" s="274"/>
      <c r="H162" s="263" t="s">
        <v>122</v>
      </c>
      <c r="I162" s="264"/>
      <c r="J162" s="263" t="s">
        <v>122</v>
      </c>
      <c r="K162" s="264"/>
      <c r="L162" s="263" t="s">
        <v>122</v>
      </c>
      <c r="M162" s="264"/>
      <c r="N162" s="267"/>
      <c r="O162" s="267"/>
      <c r="P162" s="13"/>
      <c r="Q162" s="13"/>
      <c r="R162" s="3"/>
    </row>
    <row r="163" spans="1:18" ht="48" customHeight="1">
      <c r="A163" s="3">
        <v>4</v>
      </c>
      <c r="B163" s="269" t="s">
        <v>130</v>
      </c>
      <c r="C163" s="269"/>
      <c r="D163" s="266"/>
      <c r="E163" s="266"/>
      <c r="F163" s="272" t="s">
        <v>122</v>
      </c>
      <c r="G163" s="272"/>
      <c r="H163" s="265" t="s">
        <v>122</v>
      </c>
      <c r="I163" s="265"/>
      <c r="J163" s="265" t="s">
        <v>122</v>
      </c>
      <c r="K163" s="265"/>
      <c r="L163" s="265" t="s">
        <v>122</v>
      </c>
      <c r="M163" s="265"/>
      <c r="N163" s="266"/>
      <c r="O163" s="266"/>
      <c r="P163" s="3"/>
      <c r="Q163" s="3"/>
      <c r="R163" s="3"/>
    </row>
    <row r="164" spans="1:18" ht="37.5" customHeight="1">
      <c r="A164" s="3">
        <v>5</v>
      </c>
      <c r="B164" s="269" t="s">
        <v>131</v>
      </c>
      <c r="C164" s="269"/>
      <c r="D164" s="262"/>
      <c r="E164" s="262"/>
      <c r="F164" s="268" t="s">
        <v>132</v>
      </c>
      <c r="G164" s="268"/>
      <c r="H164" s="262" t="s">
        <v>132</v>
      </c>
      <c r="I164" s="262"/>
      <c r="J164" s="262" t="s">
        <v>132</v>
      </c>
      <c r="K164" s="262"/>
      <c r="L164" s="262" t="s">
        <v>132</v>
      </c>
      <c r="M164" s="262"/>
      <c r="N164" s="262"/>
      <c r="O164" s="262"/>
      <c r="P164" s="3"/>
      <c r="Q164" s="3"/>
      <c r="R164" s="3"/>
    </row>
    <row r="165" spans="1:18" ht="50.25" customHeight="1">
      <c r="A165" s="3">
        <v>6</v>
      </c>
      <c r="B165" s="277" t="s">
        <v>133</v>
      </c>
      <c r="C165" s="240"/>
      <c r="D165" s="262"/>
      <c r="E165" s="262"/>
      <c r="F165" s="268" t="s">
        <v>134</v>
      </c>
      <c r="G165" s="268"/>
      <c r="H165" s="262" t="s">
        <v>134</v>
      </c>
      <c r="I165" s="262"/>
      <c r="J165" s="262" t="s">
        <v>134</v>
      </c>
      <c r="K165" s="262"/>
      <c r="L165" s="262" t="s">
        <v>134</v>
      </c>
      <c r="M165" s="262"/>
      <c r="N165" s="262"/>
      <c r="O165" s="262"/>
      <c r="P165" s="3"/>
      <c r="Q165" s="3"/>
      <c r="R165" s="3"/>
    </row>
    <row r="166" spans="1:18" ht="57" customHeight="1">
      <c r="A166" s="3">
        <v>7</v>
      </c>
      <c r="B166" s="277" t="s">
        <v>135</v>
      </c>
      <c r="C166" s="240"/>
      <c r="D166" s="262"/>
      <c r="E166" s="262"/>
      <c r="F166" s="278" t="s">
        <v>136</v>
      </c>
      <c r="G166" s="279"/>
      <c r="H166" s="278" t="s">
        <v>136</v>
      </c>
      <c r="I166" s="279"/>
      <c r="J166" s="278" t="s">
        <v>136</v>
      </c>
      <c r="K166" s="279"/>
      <c r="L166" s="278" t="s">
        <v>136</v>
      </c>
      <c r="M166" s="279"/>
      <c r="N166" s="262"/>
      <c r="O166" s="262"/>
      <c r="P166" s="3"/>
      <c r="Q166" s="3"/>
      <c r="R166" s="3"/>
    </row>
    <row r="168" ht="15">
      <c r="A168" s="14"/>
    </row>
    <row r="169" spans="1:18" ht="30.75" customHeight="1">
      <c r="A169" s="228" t="s">
        <v>40</v>
      </c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</row>
    <row r="172" ht="15">
      <c r="B172" s="1" t="s">
        <v>62</v>
      </c>
    </row>
    <row r="174" spans="1:18" ht="26.25" customHeight="1">
      <c r="A174" s="5" t="s">
        <v>53</v>
      </c>
      <c r="B174" s="207" t="s">
        <v>54</v>
      </c>
      <c r="C174" s="208"/>
      <c r="D174" s="209"/>
      <c r="E174" s="207" t="s">
        <v>66</v>
      </c>
      <c r="F174" s="208"/>
      <c r="G174" s="208"/>
      <c r="H174" s="209"/>
      <c r="I174" s="266" t="s">
        <v>55</v>
      </c>
      <c r="J174" s="266"/>
      <c r="K174" s="266"/>
      <c r="L174" s="266"/>
      <c r="M174" s="266"/>
      <c r="N174" s="266" t="s">
        <v>56</v>
      </c>
      <c r="O174" s="266"/>
      <c r="P174" s="266"/>
      <c r="Q174" s="266"/>
      <c r="R174" s="14"/>
    </row>
    <row r="175" spans="1:17" ht="36.75" customHeight="1">
      <c r="A175" s="3">
        <v>1</v>
      </c>
      <c r="B175" s="277" t="s">
        <v>117</v>
      </c>
      <c r="C175" s="239"/>
      <c r="D175" s="240"/>
      <c r="E175" s="287"/>
      <c r="F175" s="288"/>
      <c r="G175" s="288"/>
      <c r="H175" s="289"/>
      <c r="I175" s="310" t="s">
        <v>118</v>
      </c>
      <c r="J175" s="311"/>
      <c r="K175" s="311"/>
      <c r="L175" s="311"/>
      <c r="M175" s="312"/>
      <c r="N175" s="287"/>
      <c r="O175" s="288"/>
      <c r="P175" s="288"/>
      <c r="Q175" s="289"/>
    </row>
    <row r="176" spans="1:17" ht="48" customHeight="1">
      <c r="A176" s="3">
        <v>2</v>
      </c>
      <c r="B176" s="277" t="s">
        <v>119</v>
      </c>
      <c r="C176" s="239"/>
      <c r="D176" s="240"/>
      <c r="E176" s="287"/>
      <c r="F176" s="288"/>
      <c r="G176" s="288"/>
      <c r="H176" s="289"/>
      <c r="I176" s="310" t="s">
        <v>120</v>
      </c>
      <c r="J176" s="311"/>
      <c r="K176" s="311"/>
      <c r="L176" s="311"/>
      <c r="M176" s="312"/>
      <c r="N176" s="287"/>
      <c r="O176" s="288"/>
      <c r="P176" s="288"/>
      <c r="Q176" s="289"/>
    </row>
    <row r="177" spans="1:17" ht="24.75" customHeight="1">
      <c r="A177" s="3">
        <v>3</v>
      </c>
      <c r="B177" s="277" t="s">
        <v>121</v>
      </c>
      <c r="C177" s="239"/>
      <c r="D177" s="240"/>
      <c r="E177" s="287"/>
      <c r="F177" s="288"/>
      <c r="G177" s="288"/>
      <c r="H177" s="289"/>
      <c r="I177" s="310" t="s">
        <v>122</v>
      </c>
      <c r="J177" s="311"/>
      <c r="K177" s="311"/>
      <c r="L177" s="311"/>
      <c r="M177" s="312"/>
      <c r="N177" s="287"/>
      <c r="O177" s="288"/>
      <c r="P177" s="288"/>
      <c r="Q177" s="289"/>
    </row>
    <row r="178" spans="1:17" ht="50.25" customHeight="1">
      <c r="A178" s="3">
        <v>4</v>
      </c>
      <c r="B178" s="277" t="s">
        <v>125</v>
      </c>
      <c r="C178" s="239"/>
      <c r="D178" s="240"/>
      <c r="E178" s="287"/>
      <c r="F178" s="288"/>
      <c r="G178" s="288"/>
      <c r="H178" s="289"/>
      <c r="I178" s="310" t="s">
        <v>126</v>
      </c>
      <c r="J178" s="311"/>
      <c r="K178" s="311"/>
      <c r="L178" s="311"/>
      <c r="M178" s="312"/>
      <c r="N178" s="287"/>
      <c r="O178" s="288"/>
      <c r="P178" s="288"/>
      <c r="Q178" s="289"/>
    </row>
    <row r="179" ht="15.75" thickBot="1"/>
    <row r="180" spans="1:2" ht="15">
      <c r="A180" s="10" t="s">
        <v>67</v>
      </c>
      <c r="B180" s="11" t="s">
        <v>68</v>
      </c>
    </row>
    <row r="182" spans="1:18" ht="30.75" customHeight="1">
      <c r="A182" s="228" t="s">
        <v>40</v>
      </c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</row>
    <row r="185" ht="15">
      <c r="B185" s="1" t="s">
        <v>69</v>
      </c>
    </row>
    <row r="186" ht="15">
      <c r="K186" s="152"/>
    </row>
    <row r="187" spans="1:17" ht="30" customHeight="1">
      <c r="A187" s="58" t="s">
        <v>53</v>
      </c>
      <c r="B187" s="280" t="s">
        <v>70</v>
      </c>
      <c r="C187" s="281"/>
      <c r="D187" s="282"/>
      <c r="E187" s="283" t="s">
        <v>71</v>
      </c>
      <c r="F187" s="284"/>
      <c r="G187" s="284"/>
      <c r="H187" s="285"/>
      <c r="I187" s="286" t="s">
        <v>72</v>
      </c>
      <c r="J187" s="286"/>
      <c r="K187" s="286"/>
      <c r="L187" s="286"/>
      <c r="M187" s="286"/>
      <c r="N187" s="286" t="s">
        <v>73</v>
      </c>
      <c r="O187" s="286"/>
      <c r="P187" s="286"/>
      <c r="Q187" s="286"/>
    </row>
    <row r="188" spans="1:20" ht="70.5" customHeight="1">
      <c r="A188" s="3">
        <v>1</v>
      </c>
      <c r="B188" s="277" t="s">
        <v>115</v>
      </c>
      <c r="C188" s="239"/>
      <c r="D188" s="240"/>
      <c r="E188" s="287">
        <v>2013</v>
      </c>
      <c r="F188" s="288"/>
      <c r="G188" s="288"/>
      <c r="H188" s="289"/>
      <c r="I188" s="307">
        <f>P85+P132</f>
        <v>31684369.999999996</v>
      </c>
      <c r="J188" s="308"/>
      <c r="K188" s="308"/>
      <c r="L188" s="308"/>
      <c r="M188" s="309"/>
      <c r="N188" s="287">
        <f>P67</f>
        <v>910</v>
      </c>
      <c r="O188" s="288"/>
      <c r="P188" s="288"/>
      <c r="Q188" s="289"/>
      <c r="S188" s="162"/>
      <c r="T188" s="161"/>
    </row>
    <row r="189" spans="1:17" ht="15" customHeight="1" hidden="1">
      <c r="A189" s="3"/>
      <c r="B189" s="287"/>
      <c r="C189" s="288"/>
      <c r="D189" s="289"/>
      <c r="E189" s="287"/>
      <c r="F189" s="288"/>
      <c r="G189" s="288"/>
      <c r="H189" s="289"/>
      <c r="I189" s="307">
        <f>P86+P133</f>
        <v>0</v>
      </c>
      <c r="J189" s="308"/>
      <c r="K189" s="308"/>
      <c r="L189" s="308"/>
      <c r="M189" s="309"/>
      <c r="N189" s="287"/>
      <c r="O189" s="288"/>
      <c r="P189" s="288"/>
      <c r="Q189" s="289"/>
    </row>
    <row r="190" spans="1:17" ht="15" customHeight="1" hidden="1">
      <c r="A190" s="3"/>
      <c r="B190" s="287"/>
      <c r="C190" s="288"/>
      <c r="D190" s="289"/>
      <c r="E190" s="287"/>
      <c r="F190" s="288"/>
      <c r="G190" s="288"/>
      <c r="H190" s="289"/>
      <c r="I190" s="307">
        <f>P87+P134</f>
        <v>459300</v>
      </c>
      <c r="J190" s="308"/>
      <c r="K190" s="308"/>
      <c r="L190" s="308"/>
      <c r="M190" s="309"/>
      <c r="N190" s="287"/>
      <c r="O190" s="288"/>
      <c r="P190" s="288"/>
      <c r="Q190" s="289"/>
    </row>
    <row r="191" ht="15.75" thickBot="1"/>
    <row r="192" spans="1:18" ht="15" customHeight="1">
      <c r="A192" s="15" t="s">
        <v>74</v>
      </c>
      <c r="B192" s="17" t="s">
        <v>75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ht="13.5" customHeight="1">
      <c r="A193" s="1" t="s">
        <v>76</v>
      </c>
    </row>
    <row r="194" ht="14.25" customHeight="1">
      <c r="A194" s="1" t="s">
        <v>77</v>
      </c>
    </row>
    <row r="197" ht="15">
      <c r="B197" s="1" t="s">
        <v>78</v>
      </c>
    </row>
    <row r="199" spans="1:18" ht="61.5" customHeight="1">
      <c r="A199" s="292" t="s">
        <v>116</v>
      </c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4"/>
      <c r="R199" s="18"/>
    </row>
    <row r="202" ht="15">
      <c r="B202" s="1" t="s">
        <v>79</v>
      </c>
    </row>
    <row r="203" ht="15">
      <c r="I203" s="152"/>
    </row>
    <row r="204" spans="1:17" ht="15">
      <c r="A204" s="287">
        <f>ROUND(P85/P67,2)</f>
        <v>31858.68</v>
      </c>
      <c r="B204" s="288"/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9"/>
    </row>
    <row r="207" ht="15">
      <c r="B207" s="1" t="s">
        <v>80</v>
      </c>
    </row>
    <row r="209" spans="1:17" ht="30.75" customHeight="1">
      <c r="A209" s="292" t="s">
        <v>93</v>
      </c>
      <c r="B209" s="293"/>
      <c r="C209" s="293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4"/>
    </row>
    <row r="212" ht="15">
      <c r="B212" s="1" t="s">
        <v>81</v>
      </c>
    </row>
    <row r="213" ht="9" customHeight="1"/>
    <row r="214" spans="1:17" ht="86.25" customHeight="1">
      <c r="A214" s="277" t="s">
        <v>102</v>
      </c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40"/>
    </row>
    <row r="215" spans="1:17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5">
      <c r="A216" s="29"/>
      <c r="B216" s="29" t="s">
        <v>82</v>
      </c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35.25" customHeight="1">
      <c r="A218" s="295" t="s">
        <v>99</v>
      </c>
      <c r="B218" s="296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7"/>
    </row>
    <row r="219" spans="1:17" ht="15">
      <c r="A219" s="60" t="s">
        <v>94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2"/>
    </row>
    <row r="220" spans="1:17" ht="24.75" customHeight="1">
      <c r="A220" s="298" t="s">
        <v>95</v>
      </c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300"/>
    </row>
    <row r="221" spans="1:17" ht="15">
      <c r="A221" s="301" t="s">
        <v>96</v>
      </c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3"/>
    </row>
    <row r="222" spans="1:17" ht="15">
      <c r="A222" s="30" t="s">
        <v>97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2"/>
    </row>
    <row r="223" spans="1:17" ht="15">
      <c r="A223" s="21" t="s">
        <v>98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22"/>
    </row>
    <row r="225" spans="2:14" ht="15">
      <c r="B225" s="214" t="s">
        <v>104</v>
      </c>
      <c r="C225" s="214"/>
      <c r="D225" s="214"/>
      <c r="E225" s="214"/>
      <c r="I225" s="19"/>
      <c r="J225" s="19"/>
      <c r="K225" s="291" t="s">
        <v>203</v>
      </c>
      <c r="L225" s="291"/>
      <c r="M225" s="291"/>
      <c r="N225" s="1" t="s">
        <v>85</v>
      </c>
    </row>
    <row r="226" ht="15">
      <c r="S226" s="143"/>
    </row>
    <row r="227" spans="2:19" ht="15">
      <c r="B227" s="1" t="s">
        <v>83</v>
      </c>
      <c r="C227" s="19"/>
      <c r="E227" s="9" t="s">
        <v>84</v>
      </c>
      <c r="F227" s="19"/>
      <c r="G227" s="19"/>
      <c r="H227" s="19"/>
      <c r="S227" s="144"/>
    </row>
    <row r="228" ht="15">
      <c r="S228" s="144"/>
    </row>
    <row r="229" spans="2:19" ht="30.75" customHeight="1">
      <c r="B229" s="304" t="s">
        <v>211</v>
      </c>
      <c r="C229" s="304"/>
      <c r="D229" s="304"/>
      <c r="E229" s="304"/>
      <c r="F229" s="304"/>
      <c r="G229" s="304"/>
      <c r="H229" s="304"/>
      <c r="I229" s="19"/>
      <c r="J229" s="19"/>
      <c r="K229" s="290" t="s">
        <v>210</v>
      </c>
      <c r="L229" s="291"/>
      <c r="M229" s="291"/>
      <c r="N229" s="1" t="s">
        <v>85</v>
      </c>
      <c r="S229" s="145"/>
    </row>
    <row r="231" spans="2:8" ht="15">
      <c r="B231" s="1" t="s">
        <v>83</v>
      </c>
      <c r="C231" s="19"/>
      <c r="E231" s="9" t="s">
        <v>84</v>
      </c>
      <c r="F231" s="19"/>
      <c r="G231" s="19"/>
      <c r="H231" s="19"/>
    </row>
  </sheetData>
  <sheetProtection/>
  <mergeCells count="275">
    <mergeCell ref="E176:H176"/>
    <mergeCell ref="I176:M176"/>
    <mergeCell ref="B177:D177"/>
    <mergeCell ref="I189:M189"/>
    <mergeCell ref="N188:Q188"/>
    <mergeCell ref="I190:M190"/>
    <mergeCell ref="I177:M177"/>
    <mergeCell ref="N177:Q177"/>
    <mergeCell ref="N176:Q176"/>
    <mergeCell ref="E178:H178"/>
    <mergeCell ref="I178:M178"/>
    <mergeCell ref="E177:H177"/>
    <mergeCell ref="B176:D176"/>
    <mergeCell ref="B178:D178"/>
    <mergeCell ref="B225:E225"/>
    <mergeCell ref="K225:M225"/>
    <mergeCell ref="A199:Q199"/>
    <mergeCell ref="B190:D190"/>
    <mergeCell ref="E190:H190"/>
    <mergeCell ref="A204:Q204"/>
    <mergeCell ref="A17:R17"/>
    <mergeCell ref="A19:F19"/>
    <mergeCell ref="B188:D188"/>
    <mergeCell ref="E188:H188"/>
    <mergeCell ref="I188:M188"/>
    <mergeCell ref="N178:Q178"/>
    <mergeCell ref="B175:D175"/>
    <mergeCell ref="E175:H175"/>
    <mergeCell ref="I175:M175"/>
    <mergeCell ref="N175:Q175"/>
    <mergeCell ref="K229:M229"/>
    <mergeCell ref="A209:Q209"/>
    <mergeCell ref="A214:Q214"/>
    <mergeCell ref="A218:Q218"/>
    <mergeCell ref="A220:Q220"/>
    <mergeCell ref="A221:Q221"/>
    <mergeCell ref="B229:H229"/>
    <mergeCell ref="A182:R182"/>
    <mergeCell ref="B187:D187"/>
    <mergeCell ref="E187:H187"/>
    <mergeCell ref="I187:M187"/>
    <mergeCell ref="N187:Q187"/>
    <mergeCell ref="N190:Q190"/>
    <mergeCell ref="N189:Q189"/>
    <mergeCell ref="B189:D189"/>
    <mergeCell ref="E189:H189"/>
    <mergeCell ref="N165:O165"/>
    <mergeCell ref="A169:R169"/>
    <mergeCell ref="B174:D174"/>
    <mergeCell ref="E174:H174"/>
    <mergeCell ref="I174:M174"/>
    <mergeCell ref="N174:Q174"/>
    <mergeCell ref="H165:I165"/>
    <mergeCell ref="J166:K166"/>
    <mergeCell ref="L166:M166"/>
    <mergeCell ref="N166:O166"/>
    <mergeCell ref="B165:C165"/>
    <mergeCell ref="D165:E165"/>
    <mergeCell ref="B166:C166"/>
    <mergeCell ref="D166:E166"/>
    <mergeCell ref="F166:G166"/>
    <mergeCell ref="H166:I166"/>
    <mergeCell ref="F161:G161"/>
    <mergeCell ref="J165:K165"/>
    <mergeCell ref="L165:M165"/>
    <mergeCell ref="H163:I163"/>
    <mergeCell ref="D163:E163"/>
    <mergeCell ref="J164:K164"/>
    <mergeCell ref="L164:M164"/>
    <mergeCell ref="D164:E164"/>
    <mergeCell ref="H164:I164"/>
    <mergeCell ref="F165:G165"/>
    <mergeCell ref="J163:K163"/>
    <mergeCell ref="F164:G164"/>
    <mergeCell ref="B161:C161"/>
    <mergeCell ref="D161:E161"/>
    <mergeCell ref="F163:G163"/>
    <mergeCell ref="B163:C163"/>
    <mergeCell ref="B162:C162"/>
    <mergeCell ref="D162:E162"/>
    <mergeCell ref="F162:G162"/>
    <mergeCell ref="B164:C164"/>
    <mergeCell ref="L161:M161"/>
    <mergeCell ref="L159:M159"/>
    <mergeCell ref="H161:I161"/>
    <mergeCell ref="N164:O164"/>
    <mergeCell ref="L162:M162"/>
    <mergeCell ref="J162:K162"/>
    <mergeCell ref="H162:I162"/>
    <mergeCell ref="L163:M163"/>
    <mergeCell ref="N163:O163"/>
    <mergeCell ref="N162:O162"/>
    <mergeCell ref="N159:O159"/>
    <mergeCell ref="J161:K161"/>
    <mergeCell ref="N161:O161"/>
    <mergeCell ref="A145:C145"/>
    <mergeCell ref="A146:C146"/>
    <mergeCell ref="A151:R151"/>
    <mergeCell ref="N160:O160"/>
    <mergeCell ref="A159:E159"/>
    <mergeCell ref="F159:G159"/>
    <mergeCell ref="B160:C160"/>
    <mergeCell ref="D160:E160"/>
    <mergeCell ref="F160:G160"/>
    <mergeCell ref="H160:I160"/>
    <mergeCell ref="B158:C158"/>
    <mergeCell ref="D158:E158"/>
    <mergeCell ref="F158:M158"/>
    <mergeCell ref="H159:I159"/>
    <mergeCell ref="J159:K159"/>
    <mergeCell ref="J160:K160"/>
    <mergeCell ref="L160:M160"/>
    <mergeCell ref="N158:R158"/>
    <mergeCell ref="P142:Q142"/>
    <mergeCell ref="P146:Q146"/>
    <mergeCell ref="A147:C147"/>
    <mergeCell ref="P147:Q147"/>
    <mergeCell ref="P144:Q144"/>
    <mergeCell ref="A143:C143"/>
    <mergeCell ref="P143:Q143"/>
    <mergeCell ref="P145:Q145"/>
    <mergeCell ref="A142:C142"/>
    <mergeCell ref="A144:C144"/>
    <mergeCell ref="P135:Q135"/>
    <mergeCell ref="A141:C141"/>
    <mergeCell ref="P141:Q141"/>
    <mergeCell ref="A138:C138"/>
    <mergeCell ref="P138:Q138"/>
    <mergeCell ref="A139:C139"/>
    <mergeCell ref="P139:Q139"/>
    <mergeCell ref="A140:C140"/>
    <mergeCell ref="P140:Q140"/>
    <mergeCell ref="P130:Q131"/>
    <mergeCell ref="A133:C133"/>
    <mergeCell ref="P133:Q133"/>
    <mergeCell ref="A137:C137"/>
    <mergeCell ref="P137:Q137"/>
    <mergeCell ref="A136:C136"/>
    <mergeCell ref="P136:Q136"/>
    <mergeCell ref="A135:C135"/>
    <mergeCell ref="P118:Q119"/>
    <mergeCell ref="A120:C120"/>
    <mergeCell ref="P120:Q120"/>
    <mergeCell ref="A134:C134"/>
    <mergeCell ref="P134:Q134"/>
    <mergeCell ref="A132:C132"/>
    <mergeCell ref="P132:Q132"/>
    <mergeCell ref="A125:R125"/>
    <mergeCell ref="A130:C131"/>
    <mergeCell ref="D130:O130"/>
    <mergeCell ref="A121:C121"/>
    <mergeCell ref="P121:Q121"/>
    <mergeCell ref="A106:B107"/>
    <mergeCell ref="P106:Q106"/>
    <mergeCell ref="P107:Q107"/>
    <mergeCell ref="A108:B108"/>
    <mergeCell ref="P108:Q108"/>
    <mergeCell ref="A113:R113"/>
    <mergeCell ref="A118:C119"/>
    <mergeCell ref="D118:O118"/>
    <mergeCell ref="A102:B103"/>
    <mergeCell ref="P102:Q102"/>
    <mergeCell ref="P103:Q103"/>
    <mergeCell ref="A104:B105"/>
    <mergeCell ref="P104:Q104"/>
    <mergeCell ref="P105:Q105"/>
    <mergeCell ref="A90:R90"/>
    <mergeCell ref="A98:B99"/>
    <mergeCell ref="P98:Q98"/>
    <mergeCell ref="P99:Q99"/>
    <mergeCell ref="A100:B101"/>
    <mergeCell ref="P100:Q100"/>
    <mergeCell ref="P101:Q101"/>
    <mergeCell ref="A68:C68"/>
    <mergeCell ref="P68:Q68"/>
    <mergeCell ref="A96:B97"/>
    <mergeCell ref="C96:C97"/>
    <mergeCell ref="D96:O96"/>
    <mergeCell ref="P96:Q97"/>
    <mergeCell ref="A69:C69"/>
    <mergeCell ref="P69:Q69"/>
    <mergeCell ref="A85:C85"/>
    <mergeCell ref="P85:Q85"/>
    <mergeCell ref="A70:C70"/>
    <mergeCell ref="P70:Q70"/>
    <mergeCell ref="A76:R76"/>
    <mergeCell ref="A83:C84"/>
    <mergeCell ref="D83:O83"/>
    <mergeCell ref="P83:Q84"/>
    <mergeCell ref="F60:G60"/>
    <mergeCell ref="D58:E58"/>
    <mergeCell ref="F58:G58"/>
    <mergeCell ref="D59:E59"/>
    <mergeCell ref="F59:G59"/>
    <mergeCell ref="A65:C66"/>
    <mergeCell ref="D65:O65"/>
    <mergeCell ref="C40:C61"/>
    <mergeCell ref="D57:E57"/>
    <mergeCell ref="F57:G57"/>
    <mergeCell ref="P65:Q66"/>
    <mergeCell ref="A67:C67"/>
    <mergeCell ref="P67:Q67"/>
    <mergeCell ref="A40:B61"/>
    <mergeCell ref="D56:E56"/>
    <mergeCell ref="F56:G56"/>
    <mergeCell ref="D52:E52"/>
    <mergeCell ref="F52:G52"/>
    <mergeCell ref="D55:E55"/>
    <mergeCell ref="F49:G49"/>
    <mergeCell ref="F55:G55"/>
    <mergeCell ref="D54:E54"/>
    <mergeCell ref="F54:G54"/>
    <mergeCell ref="D53:E53"/>
    <mergeCell ref="F53:G53"/>
    <mergeCell ref="F46:G46"/>
    <mergeCell ref="D51:E51"/>
    <mergeCell ref="F51:G51"/>
    <mergeCell ref="D48:E48"/>
    <mergeCell ref="F48:G48"/>
    <mergeCell ref="F43:G43"/>
    <mergeCell ref="D43:E43"/>
    <mergeCell ref="L40:M40"/>
    <mergeCell ref="D49:E49"/>
    <mergeCell ref="D45:E45"/>
    <mergeCell ref="F50:G50"/>
    <mergeCell ref="F44:G44"/>
    <mergeCell ref="D47:E47"/>
    <mergeCell ref="F47:G47"/>
    <mergeCell ref="D46:E46"/>
    <mergeCell ref="H39:I39"/>
    <mergeCell ref="J39:K39"/>
    <mergeCell ref="H40:I40"/>
    <mergeCell ref="J40:K40"/>
    <mergeCell ref="L39:M39"/>
    <mergeCell ref="N39:O39"/>
    <mergeCell ref="D60:E60"/>
    <mergeCell ref="D39:E39"/>
    <mergeCell ref="F39:G39"/>
    <mergeCell ref="F45:G45"/>
    <mergeCell ref="D41:E41"/>
    <mergeCell ref="D44:E44"/>
    <mergeCell ref="D50:E50"/>
    <mergeCell ref="F41:G41"/>
    <mergeCell ref="D42:E42"/>
    <mergeCell ref="F42:G42"/>
    <mergeCell ref="A22:A32"/>
    <mergeCell ref="B22:B32"/>
    <mergeCell ref="C22:C32"/>
    <mergeCell ref="D22:E32"/>
    <mergeCell ref="A12:R12"/>
    <mergeCell ref="A13:R13"/>
    <mergeCell ref="A14:R14"/>
    <mergeCell ref="D21:E21"/>
    <mergeCell ref="F21:G21"/>
    <mergeCell ref="H21:I21"/>
    <mergeCell ref="F22:G32"/>
    <mergeCell ref="H22:I32"/>
    <mergeCell ref="Q22:R32"/>
    <mergeCell ref="J22:K32"/>
    <mergeCell ref="L22:M32"/>
    <mergeCell ref="D40:E40"/>
    <mergeCell ref="F40:G40"/>
    <mergeCell ref="N40:O40"/>
    <mergeCell ref="J38:O38"/>
    <mergeCell ref="P38:R38"/>
    <mergeCell ref="J21:K21"/>
    <mergeCell ref="L21:M21"/>
    <mergeCell ref="N21:O21"/>
    <mergeCell ref="Q21:R21"/>
    <mergeCell ref="A37:B39"/>
    <mergeCell ref="C37:C39"/>
    <mergeCell ref="N22:O32"/>
    <mergeCell ref="P22:P32"/>
    <mergeCell ref="D37:R37"/>
    <mergeCell ref="D38:I38"/>
  </mergeCells>
  <printOptions/>
  <pageMargins left="0.984251968503937" right="0" top="0" bottom="0" header="0.15748031496062992" footer="0.15748031496062992"/>
  <pageSetup horizontalDpi="600" verticalDpi="600" orientation="landscape" paperSize="9" scale="80" r:id="rId1"/>
  <rowBreaks count="6" manualBreakCount="6">
    <brk id="34" max="17" man="1"/>
    <brk id="62" max="17" man="1"/>
    <brk id="92" max="17" man="1"/>
    <brk id="110" max="17" man="1"/>
    <brk id="149" max="17" man="1"/>
    <brk id="19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B94"/>
  <sheetViews>
    <sheetView tabSelected="1" zoomScalePageLayoutView="0" workbookViewId="0" topLeftCell="A1">
      <pane xSplit="2" ySplit="3" topLeftCell="K40" activePane="bottomRight" state="frozen"/>
      <selection pane="topLeft" activeCell="A227" sqref="A227"/>
      <selection pane="topRight" activeCell="A227" sqref="A227"/>
      <selection pane="bottomLeft" activeCell="A227" sqref="A227"/>
      <selection pane="bottomRight" activeCell="T66" sqref="T66"/>
    </sheetView>
  </sheetViews>
  <sheetFormatPr defaultColWidth="9.140625" defaultRowHeight="15"/>
  <cols>
    <col min="1" max="1" width="26.57421875" style="0" customWidth="1"/>
    <col min="2" max="2" width="6.57421875" style="0" customWidth="1"/>
    <col min="3" max="5" width="10.7109375" style="0" customWidth="1"/>
    <col min="6" max="6" width="10.7109375" style="63" customWidth="1"/>
    <col min="7" max="7" width="10.7109375" style="0" customWidth="1"/>
    <col min="8" max="8" width="9.28125" style="0" customWidth="1"/>
    <col min="9" max="9" width="10.7109375" style="0" customWidth="1"/>
    <col min="10" max="10" width="10.7109375" style="63" customWidth="1"/>
    <col min="11" max="13" width="10.7109375" style="0" customWidth="1"/>
    <col min="14" max="14" width="10.7109375" style="63" customWidth="1"/>
    <col min="15" max="17" width="10.7109375" style="0" customWidth="1"/>
    <col min="18" max="18" width="10.7109375" style="63" customWidth="1"/>
    <col min="19" max="19" width="15.421875" style="98" customWidth="1"/>
    <col min="20" max="23" width="15.421875" style="0" customWidth="1"/>
  </cols>
  <sheetData>
    <row r="1" spans="1:19" s="106" customFormat="1" ht="15">
      <c r="A1" s="313" t="s">
        <v>214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20" s="106" customFormat="1" ht="15">
      <c r="A2" s="118">
        <f>F5+F7</f>
        <v>2798387</v>
      </c>
      <c r="B2" s="314" t="s">
        <v>177</v>
      </c>
      <c r="C2" s="314" t="s">
        <v>176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5"/>
      <c r="S2" s="141"/>
      <c r="T2" s="107">
        <f>S5+S8</f>
        <v>10670320.34</v>
      </c>
    </row>
    <row r="3" spans="1:20" s="106" customFormat="1" ht="15">
      <c r="A3" s="118"/>
      <c r="B3" s="314"/>
      <c r="C3" s="118">
        <v>1</v>
      </c>
      <c r="D3" s="118">
        <v>2</v>
      </c>
      <c r="E3" s="118">
        <v>3</v>
      </c>
      <c r="F3" s="130" t="s">
        <v>175</v>
      </c>
      <c r="G3" s="118">
        <v>4</v>
      </c>
      <c r="H3" s="118">
        <v>5</v>
      </c>
      <c r="I3" s="118">
        <v>6</v>
      </c>
      <c r="J3" s="130" t="s">
        <v>174</v>
      </c>
      <c r="K3" s="118">
        <v>7</v>
      </c>
      <c r="L3" s="118">
        <v>8</v>
      </c>
      <c r="M3" s="118">
        <v>9</v>
      </c>
      <c r="N3" s="130" t="s">
        <v>173</v>
      </c>
      <c r="O3" s="118">
        <v>10</v>
      </c>
      <c r="P3" s="118">
        <v>11</v>
      </c>
      <c r="Q3" s="118">
        <v>12</v>
      </c>
      <c r="R3" s="130" t="s">
        <v>172</v>
      </c>
      <c r="S3" s="140"/>
      <c r="T3" s="107">
        <f>T4+T9+T10+T15+T16</f>
        <v>23620446</v>
      </c>
    </row>
    <row r="4" spans="1:20" s="94" customFormat="1" ht="15">
      <c r="A4" s="95" t="s">
        <v>193</v>
      </c>
      <c r="B4" s="96"/>
      <c r="C4" s="95">
        <f>C5+C6</f>
        <v>521891</v>
      </c>
      <c r="D4" s="95">
        <f>753499+26882</f>
        <v>780381</v>
      </c>
      <c r="E4" s="95">
        <f>F4-C4-D4</f>
        <v>1937245</v>
      </c>
      <c r="F4" s="95">
        <f>F5+F6</f>
        <v>3239517</v>
      </c>
      <c r="G4" s="95">
        <f>G5+G6</f>
        <v>1359313</v>
      </c>
      <c r="H4" s="95">
        <f>H5+H6</f>
        <v>1951810</v>
      </c>
      <c r="I4" s="95">
        <f>I5+I6</f>
        <v>2763266</v>
      </c>
      <c r="J4" s="95">
        <f>J5+J6</f>
        <v>6074389</v>
      </c>
      <c r="K4" s="95">
        <v>390190</v>
      </c>
      <c r="L4" s="95">
        <f>390190+100000</f>
        <v>490190</v>
      </c>
      <c r="M4" s="88">
        <f>N4-K4-L4</f>
        <v>1171210.9999999998</v>
      </c>
      <c r="N4" s="95">
        <f>N5+N6</f>
        <v>2051590.9999999998</v>
      </c>
      <c r="O4" s="95">
        <f>O5+O6</f>
        <v>990275</v>
      </c>
      <c r="P4" s="95">
        <v>827203</v>
      </c>
      <c r="Q4" s="95">
        <f>R4-O4-P4</f>
        <v>614949</v>
      </c>
      <c r="R4" s="95">
        <f>R5+R6</f>
        <v>2432427</v>
      </c>
      <c r="S4" s="138">
        <f>S5+S6</f>
        <v>13797924</v>
      </c>
      <c r="T4" s="154">
        <f>T5+T6</f>
        <v>13797924</v>
      </c>
    </row>
    <row r="5" spans="1:22" s="90" customFormat="1" ht="76.5">
      <c r="A5" s="169" t="s">
        <v>226</v>
      </c>
      <c r="B5" s="92">
        <v>211</v>
      </c>
      <c r="C5" s="137">
        <v>358239</v>
      </c>
      <c r="D5" s="137">
        <v>929468</v>
      </c>
      <c r="E5" s="137">
        <f>D5</f>
        <v>929468</v>
      </c>
      <c r="F5" s="102">
        <f>SUM(C5:E5)</f>
        <v>2217175</v>
      </c>
      <c r="G5" s="137">
        <f>E5</f>
        <v>929468</v>
      </c>
      <c r="H5" s="137">
        <f>G5</f>
        <v>929468</v>
      </c>
      <c r="I5" s="137">
        <v>2333421</v>
      </c>
      <c r="J5" s="91">
        <f>SUM(G5:I5)</f>
        <v>4192357</v>
      </c>
      <c r="K5" s="137">
        <v>585301.34</v>
      </c>
      <c r="L5" s="137"/>
      <c r="M5" s="137">
        <v>809116</v>
      </c>
      <c r="N5" s="91">
        <f>SUM(K5:M5)</f>
        <v>1394417.3399999999</v>
      </c>
      <c r="O5" s="137">
        <v>531145</v>
      </c>
      <c r="P5" s="137">
        <v>982022</v>
      </c>
      <c r="Q5" s="137"/>
      <c r="R5" s="91">
        <f>SUM(O5:Q5)</f>
        <v>1513167</v>
      </c>
      <c r="S5" s="136">
        <f>R5+N5+J5+F5</f>
        <v>9317116.34</v>
      </c>
      <c r="T5" s="147">
        <f>'[2]расчет норматива'!$F$24</f>
        <v>9317116.34</v>
      </c>
      <c r="U5" s="147">
        <f>S5-T5</f>
        <v>0</v>
      </c>
      <c r="V5" s="147"/>
    </row>
    <row r="6" spans="1:21" s="63" customFormat="1" ht="89.25">
      <c r="A6" s="178" t="s">
        <v>227</v>
      </c>
      <c r="B6" s="176">
        <v>211</v>
      </c>
      <c r="C6" s="175">
        <v>163652</v>
      </c>
      <c r="D6" s="175">
        <v>428845</v>
      </c>
      <c r="E6" s="175">
        <v>429845</v>
      </c>
      <c r="F6" s="176">
        <f>SUM(C6:E6)</f>
        <v>1022342</v>
      </c>
      <c r="G6" s="175">
        <f>E6</f>
        <v>429845</v>
      </c>
      <c r="H6" s="175">
        <f>F6</f>
        <v>1022342</v>
      </c>
      <c r="I6" s="175">
        <f>G6</f>
        <v>429845</v>
      </c>
      <c r="J6" s="176">
        <f>SUM(G6:I6)</f>
        <v>1882032</v>
      </c>
      <c r="K6" s="175">
        <v>493521.66</v>
      </c>
      <c r="L6" s="175"/>
      <c r="M6" s="175">
        <v>163652</v>
      </c>
      <c r="N6" s="176">
        <f>SUM(K6:M6)</f>
        <v>657173.6599999999</v>
      </c>
      <c r="O6" s="177">
        <v>459130</v>
      </c>
      <c r="P6" s="175">
        <v>460130</v>
      </c>
      <c r="Q6" s="175"/>
      <c r="R6" s="176">
        <f>SUM(O6:Q6)</f>
        <v>919260</v>
      </c>
      <c r="S6" s="179">
        <f>R6+N6+J6+F6</f>
        <v>4480807.66</v>
      </c>
      <c r="T6" s="180">
        <f>'[2]расчет норматива'!$F$38</f>
        <v>4480807.66</v>
      </c>
      <c r="U6" s="147">
        <f>S6-T6</f>
        <v>0</v>
      </c>
    </row>
    <row r="7" spans="1:21" s="139" customFormat="1" ht="76.5">
      <c r="A7" s="170" t="s">
        <v>226</v>
      </c>
      <c r="B7" s="135">
        <v>213</v>
      </c>
      <c r="C7" s="103"/>
      <c r="D7" s="103">
        <v>290606</v>
      </c>
      <c r="E7" s="103">
        <v>290606</v>
      </c>
      <c r="F7" s="102">
        <f>SUM(C7:E7)</f>
        <v>581212</v>
      </c>
      <c r="G7" s="137">
        <f>E7</f>
        <v>290606</v>
      </c>
      <c r="H7" s="137">
        <v>294606</v>
      </c>
      <c r="I7" s="103">
        <v>898117</v>
      </c>
      <c r="J7" s="102">
        <f>SUM(G7:I7)</f>
        <v>1483329</v>
      </c>
      <c r="K7" s="103">
        <v>294606</v>
      </c>
      <c r="L7" s="103"/>
      <c r="M7" s="103">
        <v>94606</v>
      </c>
      <c r="N7" s="102">
        <f>SUM(K7:M7)</f>
        <v>389212</v>
      </c>
      <c r="O7" s="103">
        <v>188865</v>
      </c>
      <c r="P7" s="103"/>
      <c r="Q7" s="103"/>
      <c r="R7" s="102">
        <f>SUM(O7:Q7)</f>
        <v>188865</v>
      </c>
      <c r="S7" s="101">
        <f>R7+N7+J7+F7</f>
        <v>2642618</v>
      </c>
      <c r="T7" s="148">
        <f>'[2]расчет норматива'!$F$26</f>
        <v>2642618</v>
      </c>
      <c r="U7" s="147">
        <f>S7-T7</f>
        <v>0</v>
      </c>
    </row>
    <row r="8" spans="1:21" s="63" customFormat="1" ht="89.25">
      <c r="A8" s="178" t="s">
        <v>227</v>
      </c>
      <c r="B8" s="176">
        <v>213</v>
      </c>
      <c r="C8" s="175">
        <f>C9-C7</f>
        <v>0</v>
      </c>
      <c r="D8" s="175">
        <v>117036</v>
      </c>
      <c r="E8" s="175">
        <v>117035</v>
      </c>
      <c r="F8" s="176">
        <f>SUM(C8:E8)</f>
        <v>234071</v>
      </c>
      <c r="G8" s="175">
        <v>117036</v>
      </c>
      <c r="H8" s="175">
        <v>117036</v>
      </c>
      <c r="I8" s="175">
        <v>117036</v>
      </c>
      <c r="J8" s="176">
        <f>SUM(G8:I8)</f>
        <v>351108</v>
      </c>
      <c r="K8" s="175">
        <v>222297</v>
      </c>
      <c r="L8" s="175"/>
      <c r="M8" s="175"/>
      <c r="N8" s="176">
        <f>SUM(K8:M8)</f>
        <v>222297</v>
      </c>
      <c r="O8" s="175">
        <v>288711</v>
      </c>
      <c r="P8" s="175">
        <v>257017</v>
      </c>
      <c r="Q8" s="175"/>
      <c r="R8" s="176">
        <f>SUM(O8:Q8)</f>
        <v>545728</v>
      </c>
      <c r="S8" s="179">
        <f>R8+N8+J8+F8</f>
        <v>1353204</v>
      </c>
      <c r="T8" s="180">
        <f>'[2]расчет норматива'!$F$40</f>
        <v>1353204</v>
      </c>
      <c r="U8" s="147">
        <f>S8-T8</f>
        <v>0</v>
      </c>
    </row>
    <row r="9" spans="1:21" s="87" customFormat="1" ht="15">
      <c r="A9" s="89" t="s">
        <v>193</v>
      </c>
      <c r="B9" s="88"/>
      <c r="C9" s="88">
        <v>0</v>
      </c>
      <c r="D9" s="88">
        <v>235675</v>
      </c>
      <c r="E9" s="88">
        <f>F9-D9</f>
        <v>579608</v>
      </c>
      <c r="F9" s="88">
        <f>F7+F8</f>
        <v>815283</v>
      </c>
      <c r="G9" s="88">
        <f>G7+G8</f>
        <v>407642</v>
      </c>
      <c r="H9" s="88">
        <f>H7+H8</f>
        <v>411642</v>
      </c>
      <c r="I9" s="88">
        <f>I7+I8</f>
        <v>1015153</v>
      </c>
      <c r="J9" s="88">
        <f>J7+J8</f>
        <v>1834437</v>
      </c>
      <c r="K9" s="88">
        <f>157122-30000</f>
        <v>127122</v>
      </c>
      <c r="L9" s="88">
        <v>122837</v>
      </c>
      <c r="M9" s="88">
        <f>N9-K9-L9</f>
        <v>361550</v>
      </c>
      <c r="N9" s="88">
        <f>N7+N8</f>
        <v>611509</v>
      </c>
      <c r="O9" s="88">
        <v>221118</v>
      </c>
      <c r="P9" s="88">
        <v>221118</v>
      </c>
      <c r="Q9" s="88">
        <f>R9-P9-O9</f>
        <v>292357</v>
      </c>
      <c r="R9" s="88">
        <f>R7+R8</f>
        <v>734593</v>
      </c>
      <c r="S9" s="132">
        <f>S7+S8</f>
        <v>3995822</v>
      </c>
      <c r="T9" s="155">
        <f>T7+T8</f>
        <v>3995822</v>
      </c>
      <c r="U9" s="147">
        <f aca="true" t="shared" si="0" ref="U9:U70">T9-S9</f>
        <v>0</v>
      </c>
    </row>
    <row r="10" spans="1:21" s="94" customFormat="1" ht="15">
      <c r="A10" s="95" t="s">
        <v>192</v>
      </c>
      <c r="B10" s="96"/>
      <c r="C10" s="95">
        <f>C11+C12</f>
        <v>147155</v>
      </c>
      <c r="D10" s="95">
        <f>D11+D12</f>
        <v>367875</v>
      </c>
      <c r="E10" s="95">
        <f>F10-D10-C10</f>
        <v>367870</v>
      </c>
      <c r="F10" s="95">
        <f aca="true" t="shared" si="1" ref="F10:T10">F11+F12</f>
        <v>882900</v>
      </c>
      <c r="G10" s="95">
        <f t="shared" si="1"/>
        <v>367885</v>
      </c>
      <c r="H10" s="95">
        <f t="shared" si="1"/>
        <v>367885</v>
      </c>
      <c r="I10" s="95">
        <f t="shared" si="1"/>
        <v>1103605</v>
      </c>
      <c r="J10" s="95">
        <f t="shared" si="1"/>
        <v>1839375</v>
      </c>
      <c r="K10" s="95">
        <f t="shared" si="1"/>
        <v>220675</v>
      </c>
      <c r="L10" s="95">
        <f t="shared" si="1"/>
        <v>0</v>
      </c>
      <c r="M10" s="95">
        <f t="shared" si="1"/>
        <v>147200</v>
      </c>
      <c r="N10" s="95">
        <f t="shared" si="1"/>
        <v>367875</v>
      </c>
      <c r="O10" s="95">
        <f t="shared" si="1"/>
        <v>416854.46</v>
      </c>
      <c r="P10" s="95">
        <f t="shared" si="1"/>
        <v>416934.47000000003</v>
      </c>
      <c r="Q10" s="95">
        <f t="shared" si="1"/>
        <v>551261.07</v>
      </c>
      <c r="R10" s="95">
        <f t="shared" si="1"/>
        <v>1385050</v>
      </c>
      <c r="S10" s="138">
        <f t="shared" si="1"/>
        <v>4475200</v>
      </c>
      <c r="T10" s="138">
        <f t="shared" si="1"/>
        <v>4475200</v>
      </c>
      <c r="U10" s="147">
        <f t="shared" si="0"/>
        <v>0</v>
      </c>
    </row>
    <row r="11" spans="1:21" s="90" customFormat="1" ht="76.5">
      <c r="A11" s="169" t="s">
        <v>226</v>
      </c>
      <c r="B11" s="92">
        <v>211</v>
      </c>
      <c r="C11" s="137">
        <v>42550</v>
      </c>
      <c r="D11" s="137">
        <v>106362</v>
      </c>
      <c r="E11" s="137">
        <v>106357</v>
      </c>
      <c r="F11" s="102">
        <f>SUM(C11:E11)</f>
        <v>255269</v>
      </c>
      <c r="G11" s="137">
        <v>106372</v>
      </c>
      <c r="H11" s="137">
        <v>106372</v>
      </c>
      <c r="I11" s="137">
        <v>469116</v>
      </c>
      <c r="J11" s="91">
        <f>SUM(G11:I11)</f>
        <v>681860</v>
      </c>
      <c r="K11" s="137"/>
      <c r="L11" s="137"/>
      <c r="M11" s="137">
        <v>42550</v>
      </c>
      <c r="N11" s="91">
        <f>SUM(K11:M11)</f>
        <v>42550</v>
      </c>
      <c r="O11" s="137">
        <v>112222.46</v>
      </c>
      <c r="P11" s="137">
        <v>112222.46</v>
      </c>
      <c r="Q11" s="137">
        <v>89691.59</v>
      </c>
      <c r="R11" s="91">
        <f>O11+P11+Q11</f>
        <v>314136.51</v>
      </c>
      <c r="S11" s="136">
        <f>R11+N11+J11+F11</f>
        <v>1293815.51</v>
      </c>
      <c r="T11" s="147">
        <f>'[2]расчет норматива'!$F$17</f>
        <v>1293815.51</v>
      </c>
      <c r="U11" s="147">
        <f>S11-T11</f>
        <v>0</v>
      </c>
    </row>
    <row r="12" spans="1:21" s="63" customFormat="1" ht="89.25">
      <c r="A12" s="178" t="s">
        <v>227</v>
      </c>
      <c r="B12" s="176">
        <v>211</v>
      </c>
      <c r="C12" s="175">
        <v>104605</v>
      </c>
      <c r="D12" s="175">
        <v>261513</v>
      </c>
      <c r="E12" s="175">
        <v>261513</v>
      </c>
      <c r="F12" s="176">
        <f>SUM(C12:E12)</f>
        <v>627631</v>
      </c>
      <c r="G12" s="175">
        <f>D12</f>
        <v>261513</v>
      </c>
      <c r="H12" s="175">
        <v>261513</v>
      </c>
      <c r="I12" s="175">
        <v>634489</v>
      </c>
      <c r="J12" s="176">
        <f>SUM(G12:I12)</f>
        <v>1157515</v>
      </c>
      <c r="K12" s="175">
        <v>220675</v>
      </c>
      <c r="L12" s="175"/>
      <c r="M12" s="175">
        <v>104650</v>
      </c>
      <c r="N12" s="176">
        <f>SUM(K12:M12)</f>
        <v>325325</v>
      </c>
      <c r="O12" s="175">
        <v>304632</v>
      </c>
      <c r="P12" s="175">
        <v>304712.01</v>
      </c>
      <c r="Q12" s="175">
        <v>461569.48</v>
      </c>
      <c r="R12" s="176">
        <f>SUM(O12:Q12)</f>
        <v>1070913.49</v>
      </c>
      <c r="S12" s="179">
        <f>R12+N12+J12+F12</f>
        <v>3181384.49</v>
      </c>
      <c r="T12" s="180">
        <f>'[2]расчет норматива'!$F$44</f>
        <v>3181384.4899999998</v>
      </c>
      <c r="U12" s="147">
        <f>S12-T12</f>
        <v>0</v>
      </c>
    </row>
    <row r="13" spans="1:21" s="133" customFormat="1" ht="76.5">
      <c r="A13" s="170" t="s">
        <v>226</v>
      </c>
      <c r="B13" s="135">
        <v>213</v>
      </c>
      <c r="C13" s="134">
        <v>0</v>
      </c>
      <c r="D13" s="103">
        <v>35594</v>
      </c>
      <c r="E13" s="103">
        <v>35594</v>
      </c>
      <c r="F13" s="102">
        <f>SUM(C13:E13)</f>
        <v>71188</v>
      </c>
      <c r="G13" s="103">
        <v>35594</v>
      </c>
      <c r="H13" s="103">
        <v>35594</v>
      </c>
      <c r="I13" s="103">
        <v>162186</v>
      </c>
      <c r="J13" s="102">
        <f>SUM(G13:I13)</f>
        <v>233374</v>
      </c>
      <c r="K13" s="103">
        <v>35594</v>
      </c>
      <c r="L13" s="103"/>
      <c r="M13" s="103"/>
      <c r="N13" s="102">
        <f>SUM(K13:M13)</f>
        <v>35594</v>
      </c>
      <c r="O13" s="103">
        <v>25569.85</v>
      </c>
      <c r="P13" s="103">
        <v>12392</v>
      </c>
      <c r="Q13" s="103">
        <v>12604</v>
      </c>
      <c r="R13" s="102">
        <f>SUM(O13:Q13)</f>
        <v>50565.85</v>
      </c>
      <c r="S13" s="101">
        <f>R13+N13+J13+F13</f>
        <v>390721.85</v>
      </c>
      <c r="T13" s="148">
        <f>'[2]расчет норматива'!$F$19</f>
        <v>390721.85</v>
      </c>
      <c r="U13" s="147">
        <f>S13-T13</f>
        <v>0</v>
      </c>
    </row>
    <row r="14" spans="1:21" s="63" customFormat="1" ht="89.25">
      <c r="A14" s="178" t="s">
        <v>227</v>
      </c>
      <c r="B14" s="176">
        <v>213</v>
      </c>
      <c r="C14" s="175"/>
      <c r="D14" s="175">
        <v>75505</v>
      </c>
      <c r="E14" s="175">
        <v>75504</v>
      </c>
      <c r="F14" s="176">
        <f>SUM(C14:E14)</f>
        <v>151009</v>
      </c>
      <c r="G14" s="175">
        <v>87516</v>
      </c>
      <c r="H14" s="175">
        <v>87516</v>
      </c>
      <c r="I14" s="175">
        <v>191516</v>
      </c>
      <c r="J14" s="176">
        <f>SUM(G14:I14)</f>
        <v>366548</v>
      </c>
      <c r="K14" s="175">
        <v>75504</v>
      </c>
      <c r="L14" s="175"/>
      <c r="M14" s="175"/>
      <c r="N14" s="176">
        <f>SUM(K14:M14)</f>
        <v>75504</v>
      </c>
      <c r="O14" s="175">
        <v>123229.15</v>
      </c>
      <c r="P14" s="175">
        <v>123205</v>
      </c>
      <c r="Q14" s="175">
        <v>121283</v>
      </c>
      <c r="R14" s="176">
        <f>SUM(O14:Q14)</f>
        <v>367717.15</v>
      </c>
      <c r="S14" s="179">
        <f>R14+N14+J14+F14</f>
        <v>960778.15</v>
      </c>
      <c r="T14" s="180">
        <f>'[2]расчет норматива'!$F$46</f>
        <v>960778.15</v>
      </c>
      <c r="U14" s="147">
        <f>S14-T14</f>
        <v>0</v>
      </c>
    </row>
    <row r="15" spans="1:21" s="87" customFormat="1" ht="15">
      <c r="A15" s="89" t="s">
        <v>192</v>
      </c>
      <c r="B15" s="88"/>
      <c r="C15" s="88">
        <f aca="true" t="shared" si="2" ref="C15:T15">C13+C14</f>
        <v>0</v>
      </c>
      <c r="D15" s="88">
        <f t="shared" si="2"/>
        <v>111099</v>
      </c>
      <c r="E15" s="88">
        <f>F15-D15</f>
        <v>111098</v>
      </c>
      <c r="F15" s="88">
        <f>F13+F14</f>
        <v>222197</v>
      </c>
      <c r="G15" s="88">
        <f>G13+G14</f>
        <v>123110</v>
      </c>
      <c r="H15" s="88">
        <f>H13+H14</f>
        <v>123110</v>
      </c>
      <c r="I15" s="88">
        <f>I13+I14</f>
        <v>353702</v>
      </c>
      <c r="J15" s="88">
        <f>J13+J14</f>
        <v>599922</v>
      </c>
      <c r="K15" s="88">
        <f t="shared" si="2"/>
        <v>111098</v>
      </c>
      <c r="L15" s="88">
        <f t="shared" si="2"/>
        <v>0</v>
      </c>
      <c r="M15" s="88">
        <f t="shared" si="2"/>
        <v>0</v>
      </c>
      <c r="N15" s="88">
        <f>N13+N14</f>
        <v>111098</v>
      </c>
      <c r="O15" s="88">
        <f t="shared" si="2"/>
        <v>148799</v>
      </c>
      <c r="P15" s="88">
        <f t="shared" si="2"/>
        <v>135597</v>
      </c>
      <c r="Q15" s="88">
        <f t="shared" si="2"/>
        <v>133887</v>
      </c>
      <c r="R15" s="88">
        <f t="shared" si="2"/>
        <v>418283</v>
      </c>
      <c r="S15" s="132">
        <f t="shared" si="2"/>
        <v>1351500</v>
      </c>
      <c r="T15" s="132">
        <f t="shared" si="2"/>
        <v>1351500</v>
      </c>
      <c r="U15" s="147">
        <f t="shared" si="0"/>
        <v>0</v>
      </c>
    </row>
    <row r="16" spans="1:21" s="86" customFormat="1" ht="15">
      <c r="A16" s="181" t="s">
        <v>171</v>
      </c>
      <c r="B16" s="182">
        <v>212</v>
      </c>
      <c r="C16" s="177"/>
      <c r="D16" s="177"/>
      <c r="E16" s="177"/>
      <c r="F16" s="176">
        <f>SUM(C16:E16)</f>
        <v>0</v>
      </c>
      <c r="G16" s="177"/>
      <c r="H16" s="177"/>
      <c r="I16" s="177"/>
      <c r="J16" s="176">
        <f>SUM(G16:I16)</f>
        <v>0</v>
      </c>
      <c r="K16" s="177"/>
      <c r="L16" s="177"/>
      <c r="M16" s="177"/>
      <c r="N16" s="176">
        <f>SUM(K16:M16)</f>
        <v>0</v>
      </c>
      <c r="O16" s="177"/>
      <c r="P16" s="177"/>
      <c r="Q16" s="177"/>
      <c r="R16" s="176">
        <f>SUM(O16:Q16)</f>
        <v>0</v>
      </c>
      <c r="S16" s="179">
        <f aca="true" t="shared" si="3" ref="S16:S49">R16+N16+J16+F16</f>
        <v>0</v>
      </c>
      <c r="T16" s="148">
        <f>'[2]расчет норматива'!$F$13</f>
        <v>0</v>
      </c>
      <c r="U16" s="147">
        <f t="shared" si="0"/>
        <v>0</v>
      </c>
    </row>
    <row r="17" spans="1:21" s="63" customFormat="1" ht="22.5">
      <c r="A17" s="181" t="s">
        <v>170</v>
      </c>
      <c r="B17" s="176">
        <v>212</v>
      </c>
      <c r="C17" s="175"/>
      <c r="D17" s="175">
        <v>350</v>
      </c>
      <c r="E17" s="175">
        <v>350</v>
      </c>
      <c r="F17" s="176">
        <f>SUM(C17:E17)</f>
        <v>700</v>
      </c>
      <c r="G17" s="175">
        <v>350</v>
      </c>
      <c r="H17" s="175">
        <v>350</v>
      </c>
      <c r="I17" s="175">
        <v>350</v>
      </c>
      <c r="J17" s="176">
        <f>SUM(G17:I17)</f>
        <v>1050</v>
      </c>
      <c r="K17" s="175">
        <v>350</v>
      </c>
      <c r="L17" s="175">
        <v>350</v>
      </c>
      <c r="M17" s="175">
        <v>350</v>
      </c>
      <c r="N17" s="176">
        <f>SUM(K17:M17)</f>
        <v>1050</v>
      </c>
      <c r="O17" s="175">
        <v>350</v>
      </c>
      <c r="P17" s="175">
        <v>350</v>
      </c>
      <c r="Q17" s="175">
        <v>700</v>
      </c>
      <c r="R17" s="176">
        <f>SUM(O17:Q17)</f>
        <v>1400</v>
      </c>
      <c r="S17" s="179">
        <f t="shared" si="3"/>
        <v>4200</v>
      </c>
      <c r="T17" s="125">
        <f>'[2]расчет норматива'!$F$35</f>
        <v>4200</v>
      </c>
      <c r="U17" s="147">
        <f t="shared" si="0"/>
        <v>0</v>
      </c>
    </row>
    <row r="18" spans="1:21" s="63" customFormat="1" ht="15">
      <c r="A18" s="178" t="s">
        <v>169</v>
      </c>
      <c r="B18" s="176">
        <v>221</v>
      </c>
      <c r="C18" s="175">
        <v>2300</v>
      </c>
      <c r="D18" s="175">
        <v>2300</v>
      </c>
      <c r="E18" s="175">
        <v>2415</v>
      </c>
      <c r="F18" s="176">
        <f>SUM(C18:E18)</f>
        <v>7015</v>
      </c>
      <c r="G18" s="175">
        <v>2300</v>
      </c>
      <c r="H18" s="175">
        <v>2300</v>
      </c>
      <c r="I18" s="175">
        <v>2415</v>
      </c>
      <c r="J18" s="176">
        <f>SUM(G18:I18)</f>
        <v>7015</v>
      </c>
      <c r="K18" s="175">
        <v>2300</v>
      </c>
      <c r="L18" s="175">
        <v>2300</v>
      </c>
      <c r="M18" s="175">
        <v>2414</v>
      </c>
      <c r="N18" s="176">
        <f>SUM(K18:M18)</f>
        <v>7014</v>
      </c>
      <c r="O18" s="175">
        <v>2300</v>
      </c>
      <c r="P18" s="175">
        <v>2300</v>
      </c>
      <c r="Q18" s="175">
        <v>2414</v>
      </c>
      <c r="R18" s="176">
        <f>SUM(O18:Q18)</f>
        <v>7014</v>
      </c>
      <c r="S18" s="179">
        <f t="shared" si="3"/>
        <v>28058</v>
      </c>
      <c r="T18" s="100">
        <f>'[2]расчет норматива'!$F$75</f>
        <v>28058</v>
      </c>
      <c r="U18" s="147">
        <f t="shared" si="0"/>
        <v>0</v>
      </c>
    </row>
    <row r="19" spans="1:21" s="63" customFormat="1" ht="15">
      <c r="A19" s="178" t="s">
        <v>160</v>
      </c>
      <c r="B19" s="176">
        <v>223</v>
      </c>
      <c r="C19" s="176">
        <f>C74+C76+C78+C80+C81</f>
        <v>215031.01</v>
      </c>
      <c r="D19" s="176">
        <f>D74+D76+D78+D80+D81</f>
        <v>215786.72</v>
      </c>
      <c r="E19" s="176">
        <f>E74+E76+E78+E80+E81</f>
        <v>208208.5</v>
      </c>
      <c r="F19" s="176">
        <f>SUM(C19:E19)</f>
        <v>639026.23</v>
      </c>
      <c r="G19" s="176">
        <f>G74+G76+G78+G80+G81</f>
        <v>141351.43</v>
      </c>
      <c r="H19" s="176">
        <f>H74+H76+H78+H80+H81</f>
        <v>79168</v>
      </c>
      <c r="I19" s="176">
        <f>I74+I76+I78+I80+I81</f>
        <v>75722.33</v>
      </c>
      <c r="J19" s="176">
        <f>SUM(G19:I19)</f>
        <v>296241.76</v>
      </c>
      <c r="K19" s="176">
        <f>K74+K76+K78+K80+K81</f>
        <v>20145</v>
      </c>
      <c r="L19" s="176">
        <f>L74+L76+L78+L80+L81</f>
        <v>65155</v>
      </c>
      <c r="M19" s="176">
        <f>M74+M76+M78+M80+M81</f>
        <v>121699.68</v>
      </c>
      <c r="N19" s="176">
        <f>SUM(K19:M19)</f>
        <v>206999.68</v>
      </c>
      <c r="O19" s="176">
        <f>O74+O76+O78+O80+O81</f>
        <v>209186.5</v>
      </c>
      <c r="P19" s="176">
        <f>P74+P76+P78+P80+P81</f>
        <v>276143.49</v>
      </c>
      <c r="Q19" s="176">
        <f>Q74+Q76+Q78+Q80+Q81</f>
        <v>264886.21</v>
      </c>
      <c r="R19" s="176">
        <f>SUM(O19:Q19)</f>
        <v>750216.2</v>
      </c>
      <c r="S19" s="179">
        <f t="shared" si="3"/>
        <v>1892483.8699999999</v>
      </c>
      <c r="T19" s="128">
        <f>'[2]расчет норматива'!$F$139</f>
        <v>1892483.8699999999</v>
      </c>
      <c r="U19" s="147">
        <f t="shared" si="0"/>
        <v>0</v>
      </c>
    </row>
    <row r="20" spans="1:21" s="82" customFormat="1" ht="24" customHeight="1" thickBot="1">
      <c r="A20" s="84" t="s">
        <v>168</v>
      </c>
      <c r="B20" s="83"/>
      <c r="C20" s="83">
        <f>C75+C79</f>
        <v>123165.99</v>
      </c>
      <c r="D20" s="83">
        <f>D75+D79</f>
        <v>117517.5</v>
      </c>
      <c r="E20" s="83">
        <f>E75+E79</f>
        <v>108606.28</v>
      </c>
      <c r="F20" s="83">
        <f>C20+D20+E20</f>
        <v>349289.77</v>
      </c>
      <c r="G20" s="83">
        <f>G75+G79</f>
        <v>53724.43</v>
      </c>
      <c r="H20" s="83">
        <f>H75+H79</f>
        <v>7000</v>
      </c>
      <c r="I20" s="83">
        <f>I75+I79</f>
        <v>6705.81</v>
      </c>
      <c r="J20" s="83">
        <f>G20+H20+I20</f>
        <v>67430.24</v>
      </c>
      <c r="K20" s="83">
        <f>K75+K79</f>
        <v>1000</v>
      </c>
      <c r="L20" s="83">
        <f>L75+L79</f>
        <v>6000</v>
      </c>
      <c r="M20" s="83">
        <f>M75+M79</f>
        <v>11858.32</v>
      </c>
      <c r="N20" s="83">
        <f>K20+L20+M20</f>
        <v>18858.32</v>
      </c>
      <c r="O20" s="83">
        <f>O75+O79</f>
        <v>73926.5</v>
      </c>
      <c r="P20" s="83">
        <f>P75+P79</f>
        <v>100141.51</v>
      </c>
      <c r="Q20" s="83">
        <f>Q75+Q79</f>
        <v>102669.79</v>
      </c>
      <c r="R20" s="83">
        <f>O20+P20+Q20</f>
        <v>276737.8</v>
      </c>
      <c r="S20" s="131">
        <f t="shared" si="3"/>
        <v>712316.13</v>
      </c>
      <c r="T20" s="153">
        <f>'[2]расчет норматива'!$F$147+'[2]расчет норматива'!$F$148</f>
        <v>712316.1299999999</v>
      </c>
      <c r="U20" s="147">
        <f t="shared" si="0"/>
        <v>0</v>
      </c>
    </row>
    <row r="21" spans="1:21" ht="15">
      <c r="A21" s="166" t="s">
        <v>215</v>
      </c>
      <c r="B21" s="70">
        <v>225</v>
      </c>
      <c r="C21" s="118">
        <v>10001.5</v>
      </c>
      <c r="D21" s="118">
        <f>C21</f>
        <v>10001.5</v>
      </c>
      <c r="E21" s="118">
        <f>D21</f>
        <v>10001.5</v>
      </c>
      <c r="F21" s="71">
        <f aca="true" t="shared" si="4" ref="F21:F36">SUM(C21:E21)</f>
        <v>30004.5</v>
      </c>
      <c r="G21" s="118">
        <f>E21</f>
        <v>10001.5</v>
      </c>
      <c r="H21" s="118">
        <f>G21</f>
        <v>10001.5</v>
      </c>
      <c r="I21" s="118">
        <f>H21</f>
        <v>10001.5</v>
      </c>
      <c r="J21" s="71">
        <f aca="true" t="shared" si="5" ref="J21:J36">SUM(G21:I21)</f>
        <v>30004.5</v>
      </c>
      <c r="K21" s="118">
        <v>10441.57</v>
      </c>
      <c r="L21" s="118">
        <f>K21</f>
        <v>10441.57</v>
      </c>
      <c r="M21" s="118">
        <f>L21</f>
        <v>10441.57</v>
      </c>
      <c r="N21" s="71">
        <f aca="true" t="shared" si="6" ref="N21:N36">SUM(K21:M21)</f>
        <v>31324.71</v>
      </c>
      <c r="O21" s="118">
        <f>M21</f>
        <v>10441.57</v>
      </c>
      <c r="P21" s="118">
        <f>O21</f>
        <v>10441.57</v>
      </c>
      <c r="Q21" s="118">
        <v>10441.55</v>
      </c>
      <c r="R21" s="71">
        <f aca="true" t="shared" si="7" ref="R21:R36">SUM(O21:Q21)</f>
        <v>31324.69</v>
      </c>
      <c r="S21" s="99">
        <f t="shared" si="3"/>
        <v>122658.4</v>
      </c>
      <c r="T21" s="125">
        <f>'[2]расчет норматива'!$F$50</f>
        <v>122658.4</v>
      </c>
      <c r="U21" s="147">
        <f t="shared" si="0"/>
        <v>0</v>
      </c>
    </row>
    <row r="22" spans="1:21" ht="15">
      <c r="A22" s="167" t="s">
        <v>216</v>
      </c>
      <c r="B22" s="70">
        <v>225</v>
      </c>
      <c r="C22" s="118">
        <v>244.65</v>
      </c>
      <c r="D22" s="118">
        <f>C22</f>
        <v>244.65</v>
      </c>
      <c r="E22" s="118">
        <f>D22</f>
        <v>244.65</v>
      </c>
      <c r="F22" s="71">
        <f t="shared" si="4"/>
        <v>733.95</v>
      </c>
      <c r="G22" s="118">
        <f>E22</f>
        <v>244.65</v>
      </c>
      <c r="H22" s="118">
        <f>G22</f>
        <v>244.65</v>
      </c>
      <c r="I22" s="118">
        <f>H22</f>
        <v>244.65</v>
      </c>
      <c r="J22" s="71">
        <f t="shared" si="5"/>
        <v>733.95</v>
      </c>
      <c r="K22" s="118">
        <f>H22</f>
        <v>244.65</v>
      </c>
      <c r="L22" s="118">
        <f>K22</f>
        <v>244.65</v>
      </c>
      <c r="M22" s="118">
        <f>L22</f>
        <v>244.65</v>
      </c>
      <c r="N22" s="71">
        <f t="shared" si="6"/>
        <v>733.95</v>
      </c>
      <c r="O22" s="118">
        <f>M22</f>
        <v>244.65</v>
      </c>
      <c r="P22" s="118">
        <f>O22</f>
        <v>244.65</v>
      </c>
      <c r="Q22" s="118">
        <f>P22</f>
        <v>244.65</v>
      </c>
      <c r="R22" s="71">
        <f t="shared" si="7"/>
        <v>733.95</v>
      </c>
      <c r="S22" s="99">
        <f t="shared" si="3"/>
        <v>2935.8</v>
      </c>
      <c r="T22" s="125">
        <f>'[1]расчет норматива'!$F$51</f>
        <v>2935.8</v>
      </c>
      <c r="U22" s="147">
        <f t="shared" si="0"/>
        <v>0</v>
      </c>
    </row>
    <row r="23" spans="1:21" ht="15">
      <c r="A23" s="167" t="s">
        <v>217</v>
      </c>
      <c r="B23" s="70">
        <v>225</v>
      </c>
      <c r="C23" s="118">
        <v>660</v>
      </c>
      <c r="D23" s="118">
        <f>C23</f>
        <v>660</v>
      </c>
      <c r="E23" s="118">
        <v>660</v>
      </c>
      <c r="F23" s="71">
        <f t="shared" si="4"/>
        <v>1980</v>
      </c>
      <c r="G23" s="118"/>
      <c r="H23" s="118"/>
      <c r="I23" s="118">
        <v>660</v>
      </c>
      <c r="J23" s="71">
        <f t="shared" si="5"/>
        <v>660</v>
      </c>
      <c r="K23" s="118"/>
      <c r="L23" s="118"/>
      <c r="M23" s="118">
        <v>660</v>
      </c>
      <c r="N23" s="71">
        <f t="shared" si="6"/>
        <v>660</v>
      </c>
      <c r="O23" s="118">
        <f>K23</f>
        <v>0</v>
      </c>
      <c r="P23" s="118"/>
      <c r="Q23" s="118">
        <v>660</v>
      </c>
      <c r="R23" s="71">
        <f t="shared" si="7"/>
        <v>660</v>
      </c>
      <c r="S23" s="99">
        <f t="shared" si="3"/>
        <v>3960</v>
      </c>
      <c r="T23" s="125">
        <f>'[2]расчет норматива'!$F$52</f>
        <v>3960</v>
      </c>
      <c r="U23" s="147">
        <f t="shared" si="0"/>
        <v>0</v>
      </c>
    </row>
    <row r="24" spans="1:21" ht="26.25">
      <c r="A24" s="167" t="s">
        <v>218</v>
      </c>
      <c r="B24" s="70">
        <v>225</v>
      </c>
      <c r="C24" s="118">
        <v>4384</v>
      </c>
      <c r="D24" s="118">
        <f>C24</f>
        <v>4384</v>
      </c>
      <c r="E24" s="118">
        <f>D24</f>
        <v>4384</v>
      </c>
      <c r="F24" s="71">
        <f t="shared" si="4"/>
        <v>13152</v>
      </c>
      <c r="G24" s="118">
        <f>E24</f>
        <v>4384</v>
      </c>
      <c r="H24" s="118">
        <f>G24</f>
        <v>4384</v>
      </c>
      <c r="I24" s="118">
        <v>4384</v>
      </c>
      <c r="J24" s="71">
        <f t="shared" si="5"/>
        <v>13152</v>
      </c>
      <c r="K24" s="118">
        <v>4384</v>
      </c>
      <c r="L24" s="118">
        <v>4384</v>
      </c>
      <c r="M24" s="118">
        <v>4384</v>
      </c>
      <c r="N24" s="71">
        <f t="shared" si="6"/>
        <v>13152</v>
      </c>
      <c r="O24" s="118">
        <v>4384</v>
      </c>
      <c r="P24" s="118">
        <v>4384</v>
      </c>
      <c r="Q24" s="118">
        <v>4384</v>
      </c>
      <c r="R24" s="71">
        <f t="shared" si="7"/>
        <v>13152</v>
      </c>
      <c r="S24" s="99">
        <f t="shared" si="3"/>
        <v>52608</v>
      </c>
      <c r="T24" s="125">
        <f>'[2]расчет норматива'!$F$53</f>
        <v>52608</v>
      </c>
      <c r="U24" s="147">
        <f t="shared" si="0"/>
        <v>0</v>
      </c>
    </row>
    <row r="25" spans="1:21" ht="15">
      <c r="A25" s="167" t="s">
        <v>223</v>
      </c>
      <c r="B25" s="70">
        <v>225</v>
      </c>
      <c r="C25" s="118">
        <v>0</v>
      </c>
      <c r="D25" s="118">
        <f>C25</f>
        <v>0</v>
      </c>
      <c r="E25" s="118">
        <f>D25</f>
        <v>0</v>
      </c>
      <c r="F25" s="71">
        <f t="shared" si="4"/>
        <v>0</v>
      </c>
      <c r="G25" s="118">
        <v>0</v>
      </c>
      <c r="H25" s="118">
        <f>G25</f>
        <v>0</v>
      </c>
      <c r="I25" s="118">
        <f>H25</f>
        <v>0</v>
      </c>
      <c r="J25" s="71">
        <f t="shared" si="5"/>
        <v>0</v>
      </c>
      <c r="K25" s="118">
        <v>0</v>
      </c>
      <c r="L25" s="118">
        <v>10000</v>
      </c>
      <c r="M25" s="118">
        <v>0</v>
      </c>
      <c r="N25" s="71">
        <f t="shared" si="6"/>
        <v>10000</v>
      </c>
      <c r="O25" s="118">
        <v>0</v>
      </c>
      <c r="P25" s="118">
        <f>O25</f>
        <v>0</v>
      </c>
      <c r="Q25" s="118">
        <f>P25</f>
        <v>0</v>
      </c>
      <c r="R25" s="71">
        <f t="shared" si="7"/>
        <v>0</v>
      </c>
      <c r="S25" s="99">
        <f t="shared" si="3"/>
        <v>10000</v>
      </c>
      <c r="T25" s="125">
        <f>'[2]расчет норматива'!$F$54</f>
        <v>10000</v>
      </c>
      <c r="U25" s="147">
        <f t="shared" si="0"/>
        <v>0</v>
      </c>
    </row>
    <row r="26" spans="1:21" ht="15">
      <c r="A26" s="167" t="s">
        <v>167</v>
      </c>
      <c r="B26" s="70">
        <v>225</v>
      </c>
      <c r="C26" s="118">
        <v>0</v>
      </c>
      <c r="D26" s="118">
        <v>0</v>
      </c>
      <c r="E26" s="118">
        <v>4847.99</v>
      </c>
      <c r="F26" s="71">
        <f t="shared" si="4"/>
        <v>4847.99</v>
      </c>
      <c r="G26" s="118">
        <v>0</v>
      </c>
      <c r="H26" s="118">
        <v>0</v>
      </c>
      <c r="I26" s="118">
        <v>19667.99</v>
      </c>
      <c r="J26" s="71">
        <f t="shared" si="5"/>
        <v>19667.99</v>
      </c>
      <c r="K26" s="118">
        <v>0</v>
      </c>
      <c r="L26" s="118">
        <v>0</v>
      </c>
      <c r="M26" s="118">
        <v>18997.78</v>
      </c>
      <c r="N26" s="71">
        <f t="shared" si="6"/>
        <v>18997.78</v>
      </c>
      <c r="O26" s="118">
        <v>0</v>
      </c>
      <c r="P26" s="118">
        <v>0</v>
      </c>
      <c r="Q26" s="118">
        <v>27097.8</v>
      </c>
      <c r="R26" s="71">
        <f t="shared" si="7"/>
        <v>27097.8</v>
      </c>
      <c r="S26" s="99">
        <f aca="true" t="shared" si="8" ref="S26:S36">R26+N26+J26+F26</f>
        <v>70611.56000000001</v>
      </c>
      <c r="T26" s="125">
        <f>'[2]расчет норматива'!$F$55</f>
        <v>70611.56</v>
      </c>
      <c r="U26" s="147">
        <f t="shared" si="0"/>
        <v>0</v>
      </c>
    </row>
    <row r="27" spans="1:21" ht="15">
      <c r="A27" s="167" t="s">
        <v>219</v>
      </c>
      <c r="B27" s="70">
        <v>225</v>
      </c>
      <c r="C27" s="118">
        <v>0</v>
      </c>
      <c r="D27" s="118">
        <v>0</v>
      </c>
      <c r="E27" s="118">
        <v>0</v>
      </c>
      <c r="F27" s="71">
        <f t="shared" si="4"/>
        <v>0</v>
      </c>
      <c r="G27" s="118">
        <v>0</v>
      </c>
      <c r="H27" s="118">
        <v>0</v>
      </c>
      <c r="I27" s="118">
        <v>0</v>
      </c>
      <c r="J27" s="71">
        <f t="shared" si="5"/>
        <v>0</v>
      </c>
      <c r="K27" s="118">
        <v>0</v>
      </c>
      <c r="L27" s="118">
        <v>4000</v>
      </c>
      <c r="M27" s="118">
        <v>0</v>
      </c>
      <c r="N27" s="71">
        <f t="shared" si="6"/>
        <v>4000</v>
      </c>
      <c r="O27" s="118">
        <v>0</v>
      </c>
      <c r="P27" s="118">
        <v>0</v>
      </c>
      <c r="Q27" s="118">
        <v>0</v>
      </c>
      <c r="R27" s="71">
        <f t="shared" si="7"/>
        <v>0</v>
      </c>
      <c r="S27" s="99">
        <f t="shared" si="8"/>
        <v>4000</v>
      </c>
      <c r="T27" s="125">
        <f>'[2]расчет норматива'!$F$56</f>
        <v>4000</v>
      </c>
      <c r="U27" s="147">
        <f t="shared" si="0"/>
        <v>0</v>
      </c>
    </row>
    <row r="28" spans="1:21" ht="15">
      <c r="A28" s="167" t="s">
        <v>220</v>
      </c>
      <c r="B28" s="70">
        <v>225</v>
      </c>
      <c r="C28" s="118">
        <v>2275</v>
      </c>
      <c r="D28" s="118">
        <v>0</v>
      </c>
      <c r="E28" s="118">
        <v>2275</v>
      </c>
      <c r="F28" s="71">
        <f t="shared" si="4"/>
        <v>4550</v>
      </c>
      <c r="G28" s="118">
        <v>0</v>
      </c>
      <c r="H28" s="118">
        <v>0</v>
      </c>
      <c r="I28" s="118">
        <v>0</v>
      </c>
      <c r="J28" s="71">
        <f t="shared" si="5"/>
        <v>0</v>
      </c>
      <c r="K28" s="118">
        <v>0</v>
      </c>
      <c r="L28" s="118">
        <v>0</v>
      </c>
      <c r="M28" s="118">
        <v>0</v>
      </c>
      <c r="N28" s="71">
        <f t="shared" si="6"/>
        <v>0</v>
      </c>
      <c r="O28" s="118">
        <v>0</v>
      </c>
      <c r="P28" s="118">
        <v>0</v>
      </c>
      <c r="Q28" s="118">
        <v>0</v>
      </c>
      <c r="R28" s="71">
        <f t="shared" si="7"/>
        <v>0</v>
      </c>
      <c r="S28" s="99">
        <f t="shared" si="8"/>
        <v>4550</v>
      </c>
      <c r="T28" s="125">
        <f>'[2]расчет норматива'!$F$57</f>
        <v>4550</v>
      </c>
      <c r="U28" s="147">
        <f t="shared" si="0"/>
        <v>0</v>
      </c>
    </row>
    <row r="29" spans="1:21" ht="30.75" customHeight="1">
      <c r="A29" s="167" t="s">
        <v>221</v>
      </c>
      <c r="B29" s="70">
        <v>225</v>
      </c>
      <c r="C29" s="118">
        <v>1400</v>
      </c>
      <c r="D29" s="118">
        <v>1400</v>
      </c>
      <c r="E29" s="118">
        <v>1400</v>
      </c>
      <c r="F29" s="71">
        <f t="shared" si="4"/>
        <v>4200</v>
      </c>
      <c r="G29" s="118">
        <v>1400</v>
      </c>
      <c r="H29" s="118">
        <v>1400</v>
      </c>
      <c r="I29" s="118">
        <v>1400</v>
      </c>
      <c r="J29" s="71">
        <f t="shared" si="5"/>
        <v>4200</v>
      </c>
      <c r="K29" s="118">
        <v>1400</v>
      </c>
      <c r="L29" s="118">
        <v>1400</v>
      </c>
      <c r="M29" s="118">
        <v>1400</v>
      </c>
      <c r="N29" s="71">
        <f t="shared" si="6"/>
        <v>4200</v>
      </c>
      <c r="O29" s="118">
        <v>1400</v>
      </c>
      <c r="P29" s="118">
        <v>1400</v>
      </c>
      <c r="Q29" s="118">
        <v>1400</v>
      </c>
      <c r="R29" s="71">
        <f t="shared" si="7"/>
        <v>4200</v>
      </c>
      <c r="S29" s="99">
        <f t="shared" si="8"/>
        <v>16800</v>
      </c>
      <c r="T29" s="125">
        <f>'[2]расчет норматива'!$F$58</f>
        <v>16800</v>
      </c>
      <c r="U29" s="147">
        <f t="shared" si="0"/>
        <v>0</v>
      </c>
    </row>
    <row r="30" spans="1:21" ht="16.5" customHeight="1">
      <c r="A30" s="167" t="s">
        <v>204</v>
      </c>
      <c r="B30" s="70">
        <v>225</v>
      </c>
      <c r="C30" s="118">
        <v>3210.52</v>
      </c>
      <c r="D30" s="118">
        <v>3210.52</v>
      </c>
      <c r="E30" s="118">
        <v>3210.52</v>
      </c>
      <c r="F30" s="71">
        <f t="shared" si="4"/>
        <v>9631.56</v>
      </c>
      <c r="G30" s="118">
        <v>3210.52</v>
      </c>
      <c r="H30" s="118">
        <v>3210.52</v>
      </c>
      <c r="I30" s="118">
        <v>3210.52</v>
      </c>
      <c r="J30" s="71">
        <f t="shared" si="5"/>
        <v>9631.56</v>
      </c>
      <c r="K30" s="118">
        <v>3210.52</v>
      </c>
      <c r="L30" s="118">
        <v>3210.52</v>
      </c>
      <c r="M30" s="118">
        <v>3210.52</v>
      </c>
      <c r="N30" s="71">
        <f t="shared" si="6"/>
        <v>9631.56</v>
      </c>
      <c r="O30" s="118">
        <v>3210.52</v>
      </c>
      <c r="P30" s="118">
        <v>3210.52</v>
      </c>
      <c r="Q30" s="118">
        <v>3210.52</v>
      </c>
      <c r="R30" s="71">
        <f t="shared" si="7"/>
        <v>9631.56</v>
      </c>
      <c r="S30" s="99">
        <f t="shared" si="8"/>
        <v>38526.24</v>
      </c>
      <c r="T30" s="125">
        <f>'[2]расчет норматива'!$F$59</f>
        <v>38526.24</v>
      </c>
      <c r="U30" s="147">
        <f t="shared" si="0"/>
        <v>0</v>
      </c>
    </row>
    <row r="31" spans="1:21" ht="15">
      <c r="A31" s="167" t="s">
        <v>222</v>
      </c>
      <c r="B31" s="70">
        <v>225</v>
      </c>
      <c r="C31" s="118">
        <v>0</v>
      </c>
      <c r="D31" s="118">
        <v>0</v>
      </c>
      <c r="E31" s="118">
        <v>0</v>
      </c>
      <c r="F31" s="71">
        <f t="shared" si="4"/>
        <v>0</v>
      </c>
      <c r="G31" s="118">
        <v>0</v>
      </c>
      <c r="H31" s="118">
        <v>0</v>
      </c>
      <c r="I31" s="118">
        <v>8450</v>
      </c>
      <c r="J31" s="71">
        <f t="shared" si="5"/>
        <v>8450</v>
      </c>
      <c r="K31" s="118">
        <v>0</v>
      </c>
      <c r="L31" s="118">
        <v>0</v>
      </c>
      <c r="M31" s="118">
        <v>0</v>
      </c>
      <c r="N31" s="71">
        <f t="shared" si="6"/>
        <v>0</v>
      </c>
      <c r="O31" s="118">
        <v>0</v>
      </c>
      <c r="P31" s="118">
        <v>0</v>
      </c>
      <c r="Q31" s="118">
        <v>0</v>
      </c>
      <c r="R31" s="71">
        <f t="shared" si="7"/>
        <v>0</v>
      </c>
      <c r="S31" s="99">
        <f t="shared" si="8"/>
        <v>8450</v>
      </c>
      <c r="T31" s="125">
        <f>'[2]расчет норматива'!$F$60</f>
        <v>8450</v>
      </c>
      <c r="U31" s="147">
        <f t="shared" si="0"/>
        <v>0</v>
      </c>
    </row>
    <row r="32" spans="1:21" ht="15">
      <c r="A32" s="79"/>
      <c r="B32" s="70">
        <v>225</v>
      </c>
      <c r="C32" s="118">
        <v>0</v>
      </c>
      <c r="D32" s="118">
        <v>0</v>
      </c>
      <c r="E32" s="118">
        <v>0</v>
      </c>
      <c r="F32" s="71">
        <f t="shared" si="4"/>
        <v>0</v>
      </c>
      <c r="G32" s="118">
        <v>0</v>
      </c>
      <c r="H32" s="118">
        <v>0</v>
      </c>
      <c r="I32" s="118">
        <v>0</v>
      </c>
      <c r="J32" s="71">
        <f t="shared" si="5"/>
        <v>0</v>
      </c>
      <c r="K32" s="118">
        <v>0</v>
      </c>
      <c r="L32" s="118">
        <v>0</v>
      </c>
      <c r="M32" s="118">
        <v>0</v>
      </c>
      <c r="N32" s="71">
        <f t="shared" si="6"/>
        <v>0</v>
      </c>
      <c r="O32" s="118">
        <v>0</v>
      </c>
      <c r="P32" s="118">
        <v>0</v>
      </c>
      <c r="Q32" s="118">
        <v>0</v>
      </c>
      <c r="R32" s="71">
        <f t="shared" si="7"/>
        <v>0</v>
      </c>
      <c r="S32" s="99">
        <f t="shared" si="8"/>
        <v>0</v>
      </c>
      <c r="T32" s="100"/>
      <c r="U32" s="147">
        <f t="shared" si="0"/>
        <v>0</v>
      </c>
    </row>
    <row r="33" spans="1:21" ht="15">
      <c r="A33" s="167" t="s">
        <v>205</v>
      </c>
      <c r="B33" s="70">
        <v>225</v>
      </c>
      <c r="C33" s="118">
        <v>0</v>
      </c>
      <c r="D33" s="118">
        <v>0</v>
      </c>
      <c r="E33" s="118">
        <v>0</v>
      </c>
      <c r="F33" s="71">
        <f t="shared" si="4"/>
        <v>0</v>
      </c>
      <c r="G33" s="118">
        <v>0</v>
      </c>
      <c r="H33" s="118">
        <v>0</v>
      </c>
      <c r="I33" s="118">
        <v>15000</v>
      </c>
      <c r="J33" s="71">
        <f t="shared" si="5"/>
        <v>15000</v>
      </c>
      <c r="K33" s="118">
        <v>0</v>
      </c>
      <c r="L33" s="118">
        <v>0</v>
      </c>
      <c r="M33" s="118">
        <v>0</v>
      </c>
      <c r="N33" s="71">
        <f t="shared" si="6"/>
        <v>0</v>
      </c>
      <c r="O33" s="118">
        <v>0</v>
      </c>
      <c r="P33" s="118">
        <v>0</v>
      </c>
      <c r="Q33" s="118">
        <v>0</v>
      </c>
      <c r="R33" s="71">
        <f t="shared" si="7"/>
        <v>0</v>
      </c>
      <c r="S33" s="99">
        <f t="shared" si="8"/>
        <v>15000</v>
      </c>
      <c r="T33" s="125">
        <f>'[2]расчет норматива'!$F$70</f>
        <v>15000</v>
      </c>
      <c r="U33" s="147">
        <f t="shared" si="0"/>
        <v>0</v>
      </c>
    </row>
    <row r="34" spans="1:21" ht="15">
      <c r="A34" s="167" t="s">
        <v>206</v>
      </c>
      <c r="B34" s="70">
        <v>225</v>
      </c>
      <c r="C34" s="118">
        <v>2900</v>
      </c>
      <c r="D34" s="118">
        <v>0</v>
      </c>
      <c r="E34" s="118">
        <v>1000</v>
      </c>
      <c r="F34" s="71">
        <f t="shared" si="4"/>
        <v>3900</v>
      </c>
      <c r="G34" s="118">
        <v>3500</v>
      </c>
      <c r="H34" s="118">
        <v>0</v>
      </c>
      <c r="I34" s="118">
        <v>5000</v>
      </c>
      <c r="J34" s="71">
        <f t="shared" si="5"/>
        <v>8500</v>
      </c>
      <c r="K34" s="118">
        <v>5000</v>
      </c>
      <c r="L34" s="118">
        <v>0</v>
      </c>
      <c r="M34" s="118">
        <v>5000</v>
      </c>
      <c r="N34" s="71">
        <f t="shared" si="6"/>
        <v>10000</v>
      </c>
      <c r="O34" s="118">
        <v>5000</v>
      </c>
      <c r="P34" s="118">
        <v>5000</v>
      </c>
      <c r="Q34" s="118">
        <v>3200</v>
      </c>
      <c r="R34" s="71">
        <f t="shared" si="7"/>
        <v>13200</v>
      </c>
      <c r="S34" s="99">
        <f t="shared" si="8"/>
        <v>35600</v>
      </c>
      <c r="T34" s="125">
        <f>'[2]расчет норматива'!$F$71</f>
        <v>35600</v>
      </c>
      <c r="U34" s="147">
        <f t="shared" si="0"/>
        <v>0</v>
      </c>
    </row>
    <row r="35" spans="1:21" ht="15">
      <c r="A35" s="167"/>
      <c r="B35" s="70">
        <v>225</v>
      </c>
      <c r="C35" s="118">
        <v>0</v>
      </c>
      <c r="D35" s="118">
        <v>0</v>
      </c>
      <c r="E35" s="118">
        <v>0</v>
      </c>
      <c r="F35" s="71">
        <f t="shared" si="4"/>
        <v>0</v>
      </c>
      <c r="G35" s="118">
        <v>0</v>
      </c>
      <c r="H35" s="118">
        <v>0</v>
      </c>
      <c r="I35" s="118">
        <v>0</v>
      </c>
      <c r="J35" s="71">
        <f t="shared" si="5"/>
        <v>0</v>
      </c>
      <c r="K35" s="118">
        <v>0</v>
      </c>
      <c r="L35" s="118">
        <v>0</v>
      </c>
      <c r="M35" s="118">
        <v>0</v>
      </c>
      <c r="N35" s="71">
        <f t="shared" si="6"/>
        <v>0</v>
      </c>
      <c r="O35" s="118">
        <v>0</v>
      </c>
      <c r="P35" s="118">
        <v>0</v>
      </c>
      <c r="Q35" s="118">
        <v>0</v>
      </c>
      <c r="R35" s="71">
        <f t="shared" si="7"/>
        <v>0</v>
      </c>
      <c r="S35" s="99">
        <f t="shared" si="8"/>
        <v>0</v>
      </c>
      <c r="T35" s="100"/>
      <c r="U35" s="147">
        <f t="shared" si="0"/>
        <v>0</v>
      </c>
    </row>
    <row r="36" spans="1:21" ht="15">
      <c r="A36" s="79"/>
      <c r="B36" s="70">
        <v>225</v>
      </c>
      <c r="C36" s="118">
        <v>0</v>
      </c>
      <c r="D36" s="118">
        <v>0</v>
      </c>
      <c r="E36" s="118">
        <v>0</v>
      </c>
      <c r="F36" s="71">
        <f t="shared" si="4"/>
        <v>0</v>
      </c>
      <c r="G36" s="118">
        <v>0</v>
      </c>
      <c r="H36" s="118">
        <v>0</v>
      </c>
      <c r="I36" s="118">
        <v>0</v>
      </c>
      <c r="J36" s="71">
        <f t="shared" si="5"/>
        <v>0</v>
      </c>
      <c r="K36" s="118">
        <v>0</v>
      </c>
      <c r="L36" s="118">
        <v>0</v>
      </c>
      <c r="M36" s="118">
        <v>0</v>
      </c>
      <c r="N36" s="71">
        <f t="shared" si="6"/>
        <v>0</v>
      </c>
      <c r="O36" s="118">
        <v>0</v>
      </c>
      <c r="P36" s="118">
        <v>0</v>
      </c>
      <c r="Q36" s="118">
        <v>0</v>
      </c>
      <c r="R36" s="71">
        <f t="shared" si="7"/>
        <v>0</v>
      </c>
      <c r="S36" s="99">
        <f t="shared" si="8"/>
        <v>0</v>
      </c>
      <c r="T36" s="100"/>
      <c r="U36" s="147">
        <f t="shared" si="0"/>
        <v>0</v>
      </c>
    </row>
    <row r="37" spans="1:21" s="63" customFormat="1" ht="15">
      <c r="A37" s="81" t="s">
        <v>166</v>
      </c>
      <c r="B37" s="71"/>
      <c r="C37" s="71">
        <f aca="true" t="shared" si="9" ref="C37:R37">SUM(C21:C36)</f>
        <v>25075.670000000002</v>
      </c>
      <c r="D37" s="71">
        <f t="shared" si="9"/>
        <v>19900.670000000002</v>
      </c>
      <c r="E37" s="71">
        <f t="shared" si="9"/>
        <v>28023.66</v>
      </c>
      <c r="F37" s="71">
        <f>SUM(F21:F36)</f>
        <v>73000</v>
      </c>
      <c r="G37" s="71">
        <f t="shared" si="9"/>
        <v>22740.67</v>
      </c>
      <c r="H37" s="71">
        <f t="shared" si="9"/>
        <v>19240.67</v>
      </c>
      <c r="I37" s="71">
        <f t="shared" si="9"/>
        <v>68018.66</v>
      </c>
      <c r="J37" s="71">
        <f t="shared" si="9"/>
        <v>110000</v>
      </c>
      <c r="K37" s="71">
        <f t="shared" si="9"/>
        <v>24680.74</v>
      </c>
      <c r="L37" s="71">
        <f t="shared" si="9"/>
        <v>33680.74</v>
      </c>
      <c r="M37" s="71">
        <f t="shared" si="9"/>
        <v>44338.52</v>
      </c>
      <c r="N37" s="71">
        <f t="shared" si="9"/>
        <v>102700</v>
      </c>
      <c r="O37" s="71">
        <f t="shared" si="9"/>
        <v>24680.74</v>
      </c>
      <c r="P37" s="71">
        <f t="shared" si="9"/>
        <v>24680.74</v>
      </c>
      <c r="Q37" s="71">
        <f>SUM(Q21:Q36)</f>
        <v>50638.52</v>
      </c>
      <c r="R37" s="71">
        <f t="shared" si="9"/>
        <v>100000</v>
      </c>
      <c r="S37" s="99">
        <f>R37+N37+J37+F37</f>
        <v>385700</v>
      </c>
      <c r="T37" s="128">
        <f>SUM(T21:T36)</f>
        <v>385700</v>
      </c>
      <c r="U37" s="147">
        <f t="shared" si="0"/>
        <v>0</v>
      </c>
    </row>
    <row r="38" spans="1:21" ht="15">
      <c r="A38" s="79" t="s">
        <v>165</v>
      </c>
      <c r="B38" s="70">
        <v>226</v>
      </c>
      <c r="C38" s="118">
        <v>1002.84</v>
      </c>
      <c r="D38" s="118">
        <v>1002.84</v>
      </c>
      <c r="E38" s="118">
        <v>1002.84</v>
      </c>
      <c r="F38" s="71">
        <f aca="true" t="shared" si="10" ref="F38:F43">SUM(C38:E38)</f>
        <v>3008.52</v>
      </c>
      <c r="G38" s="118">
        <v>1002.84</v>
      </c>
      <c r="H38" s="118">
        <v>1002.84</v>
      </c>
      <c r="I38" s="118">
        <v>1002.84</v>
      </c>
      <c r="J38" s="71">
        <f aca="true" t="shared" si="11" ref="J38:J43">SUM(G38:I38)</f>
        <v>3008.52</v>
      </c>
      <c r="K38" s="118">
        <v>1002.84</v>
      </c>
      <c r="L38" s="118">
        <v>1002.84</v>
      </c>
      <c r="M38" s="118">
        <v>1002.84</v>
      </c>
      <c r="N38" s="71">
        <f aca="true" t="shared" si="12" ref="N38:N43">SUM(K38:M38)</f>
        <v>3008.52</v>
      </c>
      <c r="O38" s="118">
        <v>1002.84</v>
      </c>
      <c r="P38" s="118">
        <v>1002.84</v>
      </c>
      <c r="Q38" s="118">
        <v>1002.84</v>
      </c>
      <c r="R38" s="71">
        <f aca="true" t="shared" si="13" ref="R38:R43">SUM(O38:Q38)</f>
        <v>3008.52</v>
      </c>
      <c r="S38" s="99">
        <f t="shared" si="3"/>
        <v>12034.08</v>
      </c>
      <c r="T38" s="100">
        <f>'[2]расчет норматива'!$F$68</f>
        <v>12034.08</v>
      </c>
      <c r="U38" s="147">
        <f t="shared" si="0"/>
        <v>0</v>
      </c>
    </row>
    <row r="39" spans="1:21" ht="26.25">
      <c r="A39" s="79" t="s">
        <v>164</v>
      </c>
      <c r="B39" s="70">
        <v>226</v>
      </c>
      <c r="C39" s="118">
        <v>0</v>
      </c>
      <c r="D39" s="118">
        <v>0</v>
      </c>
      <c r="E39" s="118"/>
      <c r="F39" s="71">
        <f t="shared" si="10"/>
        <v>0</v>
      </c>
      <c r="G39" s="118">
        <v>0</v>
      </c>
      <c r="H39" s="118">
        <v>0</v>
      </c>
      <c r="I39" s="118">
        <v>0</v>
      </c>
      <c r="J39" s="71">
        <f t="shared" si="11"/>
        <v>0</v>
      </c>
      <c r="K39" s="118">
        <v>0</v>
      </c>
      <c r="L39" s="118">
        <v>4000</v>
      </c>
      <c r="M39" s="118"/>
      <c r="N39" s="71">
        <f t="shared" si="12"/>
        <v>4000</v>
      </c>
      <c r="O39" s="118">
        <v>0</v>
      </c>
      <c r="P39" s="118">
        <v>0</v>
      </c>
      <c r="Q39" s="118">
        <v>4000</v>
      </c>
      <c r="R39" s="71">
        <f t="shared" si="13"/>
        <v>4000</v>
      </c>
      <c r="S39" s="99">
        <f t="shared" si="3"/>
        <v>8000</v>
      </c>
      <c r="T39" s="100">
        <f>'[2]расчет норматива'!$F$69</f>
        <v>8000</v>
      </c>
      <c r="U39" s="147">
        <f t="shared" si="0"/>
        <v>0</v>
      </c>
    </row>
    <row r="40" spans="1:21" ht="15">
      <c r="A40" s="80" t="s">
        <v>224</v>
      </c>
      <c r="B40" s="70">
        <v>226</v>
      </c>
      <c r="C40" s="118">
        <v>0</v>
      </c>
      <c r="D40" s="118">
        <v>0</v>
      </c>
      <c r="E40" s="118">
        <v>48636.48</v>
      </c>
      <c r="F40" s="71">
        <f t="shared" si="10"/>
        <v>48636.48</v>
      </c>
      <c r="G40" s="118">
        <v>0</v>
      </c>
      <c r="H40" s="118">
        <v>0</v>
      </c>
      <c r="I40" s="118">
        <v>6636.48</v>
      </c>
      <c r="J40" s="71">
        <f t="shared" si="11"/>
        <v>6636.48</v>
      </c>
      <c r="K40" s="118">
        <v>0</v>
      </c>
      <c r="L40" s="118">
        <v>0</v>
      </c>
      <c r="M40" s="118">
        <v>47878.48</v>
      </c>
      <c r="N40" s="71">
        <f t="shared" si="12"/>
        <v>47878.48</v>
      </c>
      <c r="O40" s="118">
        <v>0</v>
      </c>
      <c r="P40" s="118">
        <v>0</v>
      </c>
      <c r="Q40" s="118">
        <v>19618.56</v>
      </c>
      <c r="R40" s="71">
        <f t="shared" si="13"/>
        <v>19618.56</v>
      </c>
      <c r="S40" s="99">
        <f t="shared" si="3"/>
        <v>122770</v>
      </c>
      <c r="T40" s="125">
        <f>'[2]расчет норматива'!$F$109</f>
        <v>122770</v>
      </c>
      <c r="U40" s="147">
        <f t="shared" si="0"/>
        <v>0</v>
      </c>
    </row>
    <row r="41" spans="1:21" ht="15">
      <c r="A41" s="79" t="s">
        <v>207</v>
      </c>
      <c r="B41" s="70">
        <v>226</v>
      </c>
      <c r="C41" s="118">
        <v>7785</v>
      </c>
      <c r="D41" s="118">
        <v>7785</v>
      </c>
      <c r="E41" s="118">
        <v>7785</v>
      </c>
      <c r="F41" s="71">
        <f t="shared" si="10"/>
        <v>23355</v>
      </c>
      <c r="G41" s="118">
        <v>7785</v>
      </c>
      <c r="H41" s="118">
        <v>7785</v>
      </c>
      <c r="I41" s="118">
        <v>7785</v>
      </c>
      <c r="J41" s="71">
        <f t="shared" si="11"/>
        <v>23355</v>
      </c>
      <c r="K41" s="118">
        <v>7785</v>
      </c>
      <c r="L41" s="118">
        <v>7785</v>
      </c>
      <c r="M41" s="118">
        <v>7785</v>
      </c>
      <c r="N41" s="71">
        <f t="shared" si="12"/>
        <v>23355</v>
      </c>
      <c r="O41" s="118">
        <v>7785</v>
      </c>
      <c r="P41" s="118">
        <v>7785</v>
      </c>
      <c r="Q41" s="118">
        <v>15802.92</v>
      </c>
      <c r="R41" s="71">
        <f t="shared" si="13"/>
        <v>31372.92</v>
      </c>
      <c r="S41" s="99">
        <f t="shared" si="3"/>
        <v>101437.92</v>
      </c>
      <c r="T41" s="100">
        <f>'[2]расчет норматива'!$F$103+'[2]расчет норматива'!$F$104+'[2]расчет норматива'!$F$108</f>
        <v>101437.92</v>
      </c>
      <c r="U41" s="147">
        <f t="shared" si="0"/>
        <v>0</v>
      </c>
    </row>
    <row r="42" spans="1:21" ht="15">
      <c r="A42" s="167" t="s">
        <v>225</v>
      </c>
      <c r="B42" s="70">
        <v>226</v>
      </c>
      <c r="C42" s="118"/>
      <c r="D42" s="118"/>
      <c r="E42" s="118">
        <v>2000</v>
      </c>
      <c r="F42" s="71">
        <f t="shared" si="10"/>
        <v>2000</v>
      </c>
      <c r="G42" s="118"/>
      <c r="H42" s="118"/>
      <c r="I42" s="118">
        <v>2000</v>
      </c>
      <c r="J42" s="71">
        <f t="shared" si="11"/>
        <v>2000</v>
      </c>
      <c r="K42" s="118"/>
      <c r="L42" s="118"/>
      <c r="M42" s="118">
        <v>2000</v>
      </c>
      <c r="N42" s="71">
        <f t="shared" si="12"/>
        <v>2000</v>
      </c>
      <c r="O42" s="118"/>
      <c r="P42" s="118"/>
      <c r="Q42" s="118">
        <v>2000</v>
      </c>
      <c r="R42" s="71">
        <f t="shared" si="13"/>
        <v>2000</v>
      </c>
      <c r="S42" s="99">
        <f>R42+N42+J42+F42</f>
        <v>8000</v>
      </c>
      <c r="T42" s="125">
        <f>'[2]расчет норматива'!$F$110</f>
        <v>8000</v>
      </c>
      <c r="U42" s="147">
        <f t="shared" si="0"/>
        <v>0</v>
      </c>
    </row>
    <row r="43" spans="1:21" ht="15">
      <c r="A43" s="78"/>
      <c r="B43" s="70">
        <v>226</v>
      </c>
      <c r="C43" s="118"/>
      <c r="D43" s="118"/>
      <c r="E43" s="118"/>
      <c r="F43" s="71">
        <f t="shared" si="10"/>
        <v>0</v>
      </c>
      <c r="G43" s="118">
        <v>0</v>
      </c>
      <c r="H43" s="118">
        <v>0</v>
      </c>
      <c r="I43" s="118">
        <v>0</v>
      </c>
      <c r="J43" s="71">
        <f t="shared" si="11"/>
        <v>0</v>
      </c>
      <c r="K43" s="118">
        <v>0</v>
      </c>
      <c r="L43" s="118">
        <v>0</v>
      </c>
      <c r="M43" s="118">
        <v>0</v>
      </c>
      <c r="N43" s="71">
        <f t="shared" si="12"/>
        <v>0</v>
      </c>
      <c r="O43" s="118">
        <v>0</v>
      </c>
      <c r="P43" s="118">
        <v>0</v>
      </c>
      <c r="Q43" s="118">
        <v>0</v>
      </c>
      <c r="R43" s="71">
        <f t="shared" si="13"/>
        <v>0</v>
      </c>
      <c r="S43" s="99">
        <f t="shared" si="3"/>
        <v>0</v>
      </c>
      <c r="T43" s="100"/>
      <c r="U43" s="147">
        <f t="shared" si="0"/>
        <v>0</v>
      </c>
    </row>
    <row r="44" spans="1:21" s="63" customFormat="1" ht="15">
      <c r="A44" s="77" t="s">
        <v>163</v>
      </c>
      <c r="B44" s="71"/>
      <c r="C44" s="71">
        <f aca="true" t="shared" si="14" ref="C44:S44">SUM(C38:C43)</f>
        <v>8787.84</v>
      </c>
      <c r="D44" s="71">
        <f t="shared" si="14"/>
        <v>8787.84</v>
      </c>
      <c r="E44" s="71">
        <f t="shared" si="14"/>
        <v>59424.32</v>
      </c>
      <c r="F44" s="71">
        <f t="shared" si="14"/>
        <v>77000</v>
      </c>
      <c r="G44" s="71">
        <f t="shared" si="14"/>
        <v>8787.84</v>
      </c>
      <c r="H44" s="71">
        <f t="shared" si="14"/>
        <v>8787.84</v>
      </c>
      <c r="I44" s="71">
        <f t="shared" si="14"/>
        <v>17424.32</v>
      </c>
      <c r="J44" s="71">
        <f t="shared" si="14"/>
        <v>35000</v>
      </c>
      <c r="K44" s="71">
        <f t="shared" si="14"/>
        <v>8787.84</v>
      </c>
      <c r="L44" s="71">
        <f t="shared" si="14"/>
        <v>12787.84</v>
      </c>
      <c r="M44" s="71">
        <f t="shared" si="14"/>
        <v>58666.32</v>
      </c>
      <c r="N44" s="71">
        <f t="shared" si="14"/>
        <v>80242</v>
      </c>
      <c r="O44" s="71">
        <f t="shared" si="14"/>
        <v>8787.84</v>
      </c>
      <c r="P44" s="71">
        <f t="shared" si="14"/>
        <v>8787.84</v>
      </c>
      <c r="Q44" s="71">
        <f t="shared" si="14"/>
        <v>42424.32</v>
      </c>
      <c r="R44" s="146">
        <f t="shared" si="14"/>
        <v>60000</v>
      </c>
      <c r="S44" s="99">
        <f t="shared" si="14"/>
        <v>252242</v>
      </c>
      <c r="T44" s="63">
        <f>SUM(T38:T43)</f>
        <v>252242</v>
      </c>
      <c r="U44" s="147">
        <f t="shared" si="0"/>
        <v>0</v>
      </c>
    </row>
    <row r="45" spans="1:21" s="63" customFormat="1" ht="15">
      <c r="A45" s="77" t="s">
        <v>229</v>
      </c>
      <c r="B45" s="71">
        <v>290</v>
      </c>
      <c r="C45" s="71"/>
      <c r="D45" s="71"/>
      <c r="E45" s="71"/>
      <c r="F45" s="71"/>
      <c r="G45" s="71"/>
      <c r="H45" s="71"/>
      <c r="I45" s="71"/>
      <c r="J45" s="71"/>
      <c r="K45" s="71">
        <v>3500</v>
      </c>
      <c r="L45" s="71"/>
      <c r="M45" s="71"/>
      <c r="N45" s="71">
        <f>K45+L45+M45</f>
        <v>3500</v>
      </c>
      <c r="O45" s="130"/>
      <c r="P45" s="130">
        <v>0</v>
      </c>
      <c r="Q45" s="130">
        <v>0</v>
      </c>
      <c r="R45" s="71">
        <f>SUM(O45:Q45)</f>
        <v>0</v>
      </c>
      <c r="S45" s="99">
        <f t="shared" si="3"/>
        <v>3500</v>
      </c>
      <c r="T45" s="63">
        <f>'[2]расчет норматива'!$F$106</f>
        <v>3500</v>
      </c>
      <c r="U45" s="147"/>
    </row>
    <row r="46" spans="1:21" s="63" customFormat="1" ht="25.5">
      <c r="A46" s="77" t="s">
        <v>191</v>
      </c>
      <c r="B46" s="71">
        <v>310</v>
      </c>
      <c r="C46" s="130">
        <v>0</v>
      </c>
      <c r="D46" s="130">
        <v>0</v>
      </c>
      <c r="E46" s="130">
        <v>0</v>
      </c>
      <c r="F46" s="71">
        <f>SUM(C46:E46)</f>
        <v>0</v>
      </c>
      <c r="G46" s="130">
        <v>0</v>
      </c>
      <c r="H46" s="130">
        <v>0</v>
      </c>
      <c r="I46" s="130"/>
      <c r="J46" s="71">
        <f>SUM(G46:I46)</f>
        <v>0</v>
      </c>
      <c r="K46" s="130">
        <v>0</v>
      </c>
      <c r="L46" s="130">
        <v>0</v>
      </c>
      <c r="M46" s="130"/>
      <c r="N46" s="71">
        <f>SUM(K46:M46)</f>
        <v>0</v>
      </c>
      <c r="O46" s="130">
        <v>0</v>
      </c>
      <c r="P46" s="130">
        <v>0</v>
      </c>
      <c r="Q46" s="130">
        <v>0</v>
      </c>
      <c r="R46" s="71">
        <f>SUM(O46:Q46)</f>
        <v>0</v>
      </c>
      <c r="S46" s="99">
        <f>R46+N46+J46+F46</f>
        <v>0</v>
      </c>
      <c r="U46" s="147">
        <f t="shared" si="0"/>
        <v>0</v>
      </c>
    </row>
    <row r="47" spans="1:21" s="63" customFormat="1" ht="25.5">
      <c r="A47" s="76" t="s">
        <v>190</v>
      </c>
      <c r="B47" s="71">
        <v>340</v>
      </c>
      <c r="C47" s="130"/>
      <c r="D47" s="130"/>
      <c r="E47" s="130"/>
      <c r="F47" s="71">
        <f>SUM(C47:E47)</f>
        <v>0</v>
      </c>
      <c r="G47" s="130"/>
      <c r="H47" s="130"/>
      <c r="I47" s="130"/>
      <c r="J47" s="71">
        <f>SUM(G47:I47)</f>
        <v>0</v>
      </c>
      <c r="K47" s="130"/>
      <c r="L47" s="130"/>
      <c r="M47" s="130"/>
      <c r="N47" s="71">
        <f>SUM(K47:M47)</f>
        <v>0</v>
      </c>
      <c r="O47" s="130"/>
      <c r="P47" s="130"/>
      <c r="Q47" s="130">
        <v>0</v>
      </c>
      <c r="R47" s="71">
        <f>SUM(O47:Q47)</f>
        <v>0</v>
      </c>
      <c r="S47" s="99">
        <f>R47+N47+J47+F47</f>
        <v>0</v>
      </c>
      <c r="T47" s="125"/>
      <c r="U47" s="147">
        <f t="shared" si="0"/>
        <v>0</v>
      </c>
    </row>
    <row r="48" spans="1:22" s="63" customFormat="1" ht="25.5">
      <c r="A48" s="77" t="s">
        <v>201</v>
      </c>
      <c r="B48" s="71">
        <v>310</v>
      </c>
      <c r="C48" s="130">
        <v>0</v>
      </c>
      <c r="D48" s="130">
        <v>0</v>
      </c>
      <c r="E48" s="130">
        <v>0</v>
      </c>
      <c r="F48" s="71">
        <f>SUM(C48:E48)</f>
        <v>0</v>
      </c>
      <c r="G48" s="130">
        <v>94038</v>
      </c>
      <c r="H48" s="130">
        <v>0</v>
      </c>
      <c r="I48" s="130"/>
      <c r="J48" s="71">
        <f>SUM(G48:I48)</f>
        <v>94038</v>
      </c>
      <c r="K48" s="130"/>
      <c r="L48" s="130">
        <v>0</v>
      </c>
      <c r="M48" s="130"/>
      <c r="N48" s="71">
        <f>SUM(K48:M48)</f>
        <v>0</v>
      </c>
      <c r="O48" s="130">
        <v>94038</v>
      </c>
      <c r="P48" s="130">
        <v>0</v>
      </c>
      <c r="Q48" s="130">
        <v>0</v>
      </c>
      <c r="R48" s="71">
        <f>SUM(O48:Q48)</f>
        <v>94038</v>
      </c>
      <c r="S48" s="99">
        <f t="shared" si="3"/>
        <v>188076</v>
      </c>
      <c r="T48" s="125">
        <f>'[2]п.1 (суб.)'!$E$18</f>
        <v>188076</v>
      </c>
      <c r="U48" s="147">
        <f t="shared" si="0"/>
        <v>0</v>
      </c>
      <c r="V48" s="157"/>
    </row>
    <row r="49" spans="1:21" s="63" customFormat="1" ht="25.5">
      <c r="A49" s="76" t="s">
        <v>202</v>
      </c>
      <c r="B49" s="71">
        <v>340</v>
      </c>
      <c r="C49" s="130"/>
      <c r="D49" s="130"/>
      <c r="E49" s="130">
        <v>0</v>
      </c>
      <c r="F49" s="71">
        <f>SUM(C49:E49)</f>
        <v>0</v>
      </c>
      <c r="G49" s="130">
        <v>50636</v>
      </c>
      <c r="H49" s="130">
        <v>0</v>
      </c>
      <c r="I49" s="130"/>
      <c r="J49" s="71">
        <f>SUM(G49:I49)</f>
        <v>50636</v>
      </c>
      <c r="K49" s="130"/>
      <c r="L49" s="130"/>
      <c r="M49" s="130"/>
      <c r="N49" s="71">
        <f>SUM(K49:M49)</f>
        <v>0</v>
      </c>
      <c r="O49" s="130">
        <v>56042</v>
      </c>
      <c r="P49" s="130">
        <v>0</v>
      </c>
      <c r="Q49" s="130">
        <v>0</v>
      </c>
      <c r="R49" s="71">
        <f>SUM(O49:Q49)</f>
        <v>56042</v>
      </c>
      <c r="S49" s="99">
        <f t="shared" si="3"/>
        <v>106678</v>
      </c>
      <c r="T49" s="125">
        <f>'[2]п.1 (суб.)'!$E$19</f>
        <v>106678</v>
      </c>
      <c r="U49" s="147">
        <f t="shared" si="0"/>
        <v>0</v>
      </c>
    </row>
    <row r="50" spans="1:21" s="63" customFormat="1" ht="15">
      <c r="A50" s="76" t="s">
        <v>189</v>
      </c>
      <c r="B50" s="71"/>
      <c r="C50" s="71">
        <f aca="true" t="shared" si="15" ref="C50:T50">C4+C9+C48+C49</f>
        <v>521891</v>
      </c>
      <c r="D50" s="71">
        <f t="shared" si="15"/>
        <v>1016056</v>
      </c>
      <c r="E50" s="71">
        <f t="shared" si="15"/>
        <v>2516853</v>
      </c>
      <c r="F50" s="71">
        <f t="shared" si="15"/>
        <v>4054800</v>
      </c>
      <c r="G50" s="71">
        <f t="shared" si="15"/>
        <v>1911629</v>
      </c>
      <c r="H50" s="71">
        <f t="shared" si="15"/>
        <v>2363452</v>
      </c>
      <c r="I50" s="71">
        <f t="shared" si="15"/>
        <v>3778419</v>
      </c>
      <c r="J50" s="71">
        <f t="shared" si="15"/>
        <v>8053500</v>
      </c>
      <c r="K50" s="71">
        <f t="shared" si="15"/>
        <v>517312</v>
      </c>
      <c r="L50" s="71">
        <f t="shared" si="15"/>
        <v>613027</v>
      </c>
      <c r="M50" s="71">
        <f t="shared" si="15"/>
        <v>1532760.9999999998</v>
      </c>
      <c r="N50" s="71">
        <f t="shared" si="15"/>
        <v>2663100</v>
      </c>
      <c r="O50" s="71">
        <f t="shared" si="15"/>
        <v>1361473</v>
      </c>
      <c r="P50" s="71">
        <f t="shared" si="15"/>
        <v>1048321</v>
      </c>
      <c r="Q50" s="71">
        <f t="shared" si="15"/>
        <v>907306</v>
      </c>
      <c r="R50" s="71">
        <f t="shared" si="15"/>
        <v>3317100</v>
      </c>
      <c r="S50" s="99">
        <f t="shared" si="15"/>
        <v>18088500</v>
      </c>
      <c r="T50" s="99">
        <f t="shared" si="15"/>
        <v>18088500</v>
      </c>
      <c r="U50" s="147">
        <f t="shared" si="0"/>
        <v>0</v>
      </c>
    </row>
    <row r="51" spans="1:21" s="63" customFormat="1" ht="25.5">
      <c r="A51" s="76" t="s">
        <v>188</v>
      </c>
      <c r="B51" s="71"/>
      <c r="C51" s="71">
        <f aca="true" t="shared" si="16" ref="C51:T51">C10+C15+C16</f>
        <v>147155</v>
      </c>
      <c r="D51" s="71">
        <f t="shared" si="16"/>
        <v>478974</v>
      </c>
      <c r="E51" s="71">
        <f t="shared" si="16"/>
        <v>478968</v>
      </c>
      <c r="F51" s="71">
        <f t="shared" si="16"/>
        <v>1105097</v>
      </c>
      <c r="G51" s="71">
        <f t="shared" si="16"/>
        <v>490995</v>
      </c>
      <c r="H51" s="71">
        <f t="shared" si="16"/>
        <v>490995</v>
      </c>
      <c r="I51" s="71">
        <f t="shared" si="16"/>
        <v>1457307</v>
      </c>
      <c r="J51" s="71">
        <f t="shared" si="16"/>
        <v>2439297</v>
      </c>
      <c r="K51" s="71">
        <f t="shared" si="16"/>
        <v>331773</v>
      </c>
      <c r="L51" s="71">
        <f t="shared" si="16"/>
        <v>0</v>
      </c>
      <c r="M51" s="71">
        <f t="shared" si="16"/>
        <v>147200</v>
      </c>
      <c r="N51" s="71">
        <f t="shared" si="16"/>
        <v>478973</v>
      </c>
      <c r="O51" s="71">
        <f t="shared" si="16"/>
        <v>565653.46</v>
      </c>
      <c r="P51" s="71">
        <f t="shared" si="16"/>
        <v>552531.47</v>
      </c>
      <c r="Q51" s="71">
        <f t="shared" si="16"/>
        <v>685148.07</v>
      </c>
      <c r="R51" s="71">
        <f t="shared" si="16"/>
        <v>1803333</v>
      </c>
      <c r="S51" s="71">
        <f t="shared" si="16"/>
        <v>5826700</v>
      </c>
      <c r="T51" s="71">
        <f t="shared" si="16"/>
        <v>5826700</v>
      </c>
      <c r="U51" s="147">
        <f t="shared" si="0"/>
        <v>0</v>
      </c>
    </row>
    <row r="52" spans="1:21" s="73" customFormat="1" ht="15.75">
      <c r="A52" s="75" t="s">
        <v>162</v>
      </c>
      <c r="B52" s="74"/>
      <c r="C52" s="74">
        <f aca="true" t="shared" si="17" ref="C52:R52">C37+C19+C18+C17+C8+C6+C44+C12+C14+C46+C47</f>
        <v>519451.5200000001</v>
      </c>
      <c r="D52" s="74">
        <f t="shared" si="17"/>
        <v>1130024.23</v>
      </c>
      <c r="E52" s="74">
        <f t="shared" si="17"/>
        <v>1182318.48</v>
      </c>
      <c r="F52" s="74">
        <f t="shared" si="17"/>
        <v>2831794.23</v>
      </c>
      <c r="G52" s="74">
        <f t="shared" si="17"/>
        <v>1071439.94</v>
      </c>
      <c r="H52" s="74">
        <f t="shared" si="17"/>
        <v>1598253.51</v>
      </c>
      <c r="I52" s="74">
        <f t="shared" si="17"/>
        <v>1536816.31</v>
      </c>
      <c r="J52" s="74">
        <f t="shared" si="17"/>
        <v>4206509.76</v>
      </c>
      <c r="K52" s="74">
        <f t="shared" si="17"/>
        <v>1068261.2399999998</v>
      </c>
      <c r="L52" s="74">
        <f t="shared" si="17"/>
        <v>114273.57999999999</v>
      </c>
      <c r="M52" s="74">
        <f>M37+M19+M18+M17+M8+M6+M44+M12+M14+M46+M47+M45</f>
        <v>495770.51999999996</v>
      </c>
      <c r="N52" s="74">
        <f>N37+N19+N18+N17+N8+N6+N44+N12+N14+N46+N47+N45</f>
        <v>1681805.3399999999</v>
      </c>
      <c r="O52" s="74">
        <f t="shared" si="17"/>
        <v>1421007.23</v>
      </c>
      <c r="P52" s="74">
        <f t="shared" si="17"/>
        <v>1457326.08</v>
      </c>
      <c r="Q52" s="74">
        <f t="shared" si="17"/>
        <v>943915.53</v>
      </c>
      <c r="R52" s="74">
        <f t="shared" si="17"/>
        <v>3822248.8400000003</v>
      </c>
      <c r="S52" s="129">
        <f>F52+J52+N52+R52</f>
        <v>12542358.17</v>
      </c>
      <c r="T52" s="129">
        <f>T6+T8+T12+T14+T17+T18+T19+T37+T44+T45+T46+T47</f>
        <v>12542358.17</v>
      </c>
      <c r="U52" s="147">
        <f t="shared" si="0"/>
        <v>0</v>
      </c>
    </row>
    <row r="53" spans="1:21" s="63" customFormat="1" ht="15">
      <c r="A53" s="123" t="s">
        <v>187</v>
      </c>
      <c r="B53" s="127"/>
      <c r="C53" s="127">
        <f>C6+C8</f>
        <v>163652</v>
      </c>
      <c r="D53" s="127">
        <f>D6+D8</f>
        <v>545881</v>
      </c>
      <c r="E53" s="127">
        <f>E6+E8</f>
        <v>546880</v>
      </c>
      <c r="F53" s="71">
        <f>SUM(C53:E53)</f>
        <v>1256413</v>
      </c>
      <c r="G53" s="127">
        <f>G6+G8</f>
        <v>546881</v>
      </c>
      <c r="H53" s="127">
        <f>H6+H8</f>
        <v>1139378</v>
      </c>
      <c r="I53" s="127">
        <f>I6+I8</f>
        <v>546881</v>
      </c>
      <c r="J53" s="127">
        <f>SUM(G53:I53)</f>
        <v>2233140</v>
      </c>
      <c r="K53" s="127">
        <f>K6+K8</f>
        <v>715818.6599999999</v>
      </c>
      <c r="L53" s="127">
        <f>L6+L8</f>
        <v>0</v>
      </c>
      <c r="M53" s="127">
        <f>M6+M8</f>
        <v>163652</v>
      </c>
      <c r="N53" s="127">
        <f>SUM(K53:M53)</f>
        <v>879470.6599999999</v>
      </c>
      <c r="O53" s="127">
        <f>O6+O8</f>
        <v>747841</v>
      </c>
      <c r="P53" s="127">
        <f>P6+P8</f>
        <v>717147</v>
      </c>
      <c r="Q53" s="127">
        <f>Q6+Q8</f>
        <v>0</v>
      </c>
      <c r="R53" s="127">
        <f>SUM(O53:Q53)</f>
        <v>1464988</v>
      </c>
      <c r="S53" s="126">
        <f>F53+J53+N53+R53</f>
        <v>5834011.66</v>
      </c>
      <c r="T53" s="126">
        <f>T6+T8</f>
        <v>5834011.66</v>
      </c>
      <c r="U53" s="147">
        <f t="shared" si="0"/>
        <v>0</v>
      </c>
    </row>
    <row r="54" spans="1:21" s="63" customFormat="1" ht="15">
      <c r="A54" s="124" t="s">
        <v>186</v>
      </c>
      <c r="B54" s="127"/>
      <c r="C54" s="127">
        <f>C12+C14+C17+C18+C19+C37+C44+C45+C46+C47</f>
        <v>355799.52</v>
      </c>
      <c r="D54" s="127">
        <f aca="true" t="shared" si="18" ref="D54:R54">D12+D14+D17+D18+D19+D37+D44+D45+D46+D47</f>
        <v>584143.23</v>
      </c>
      <c r="E54" s="127">
        <f t="shared" si="18"/>
        <v>635438.48</v>
      </c>
      <c r="F54" s="127">
        <f t="shared" si="18"/>
        <v>1575381.23</v>
      </c>
      <c r="G54" s="127">
        <f t="shared" si="18"/>
        <v>524558.94</v>
      </c>
      <c r="H54" s="127">
        <f t="shared" si="18"/>
        <v>458875.51</v>
      </c>
      <c r="I54" s="127">
        <f t="shared" si="18"/>
        <v>989935.3099999999</v>
      </c>
      <c r="J54" s="127">
        <f t="shared" si="18"/>
        <v>1973369.76</v>
      </c>
      <c r="K54" s="127">
        <f t="shared" si="18"/>
        <v>355942.58</v>
      </c>
      <c r="L54" s="127">
        <f t="shared" si="18"/>
        <v>114273.57999999999</v>
      </c>
      <c r="M54" s="127">
        <f t="shared" si="18"/>
        <v>332118.52</v>
      </c>
      <c r="N54" s="127">
        <f t="shared" si="18"/>
        <v>802334.6799999999</v>
      </c>
      <c r="O54" s="127">
        <f t="shared" si="18"/>
        <v>673166.23</v>
      </c>
      <c r="P54" s="127">
        <f t="shared" si="18"/>
        <v>740179.08</v>
      </c>
      <c r="Q54" s="127">
        <f t="shared" si="18"/>
        <v>943915.5299999999</v>
      </c>
      <c r="R54" s="127">
        <f t="shared" si="18"/>
        <v>2357260.84</v>
      </c>
      <c r="S54" s="126">
        <f>F54+J54+N54+R54</f>
        <v>6708346.51</v>
      </c>
      <c r="T54" s="158">
        <f>T12+T14+T17+T18+T19+T37+T44+T45+T46+T47</f>
        <v>6708346.51</v>
      </c>
      <c r="U54" s="147">
        <f t="shared" si="0"/>
        <v>0</v>
      </c>
    </row>
    <row r="55" spans="19:21" s="100" customFormat="1" ht="15">
      <c r="S55" s="125"/>
      <c r="U55" s="147">
        <f t="shared" si="0"/>
        <v>0</v>
      </c>
    </row>
    <row r="56" spans="1:21" s="72" customFormat="1" ht="15">
      <c r="A56" s="68" t="s">
        <v>161</v>
      </c>
      <c r="B56" s="68"/>
      <c r="C56" s="68">
        <f aca="true" t="shared" si="19" ref="C56:S56">C5+C7+C16+C11+C13+C48+C49</f>
        <v>400789</v>
      </c>
      <c r="D56" s="68">
        <f t="shared" si="19"/>
        <v>1362030</v>
      </c>
      <c r="E56" s="68">
        <f t="shared" si="19"/>
        <v>1362025</v>
      </c>
      <c r="F56" s="68">
        <f t="shared" si="19"/>
        <v>3124844</v>
      </c>
      <c r="G56" s="68">
        <f t="shared" si="19"/>
        <v>1506714</v>
      </c>
      <c r="H56" s="68">
        <f t="shared" si="19"/>
        <v>1366040</v>
      </c>
      <c r="I56" s="68">
        <f t="shared" si="19"/>
        <v>3862840</v>
      </c>
      <c r="J56" s="68">
        <f t="shared" si="19"/>
        <v>6735594</v>
      </c>
      <c r="K56" s="68">
        <f t="shared" si="19"/>
        <v>915501.34</v>
      </c>
      <c r="L56" s="68">
        <f t="shared" si="19"/>
        <v>0</v>
      </c>
      <c r="M56" s="68">
        <f t="shared" si="19"/>
        <v>946272</v>
      </c>
      <c r="N56" s="68">
        <f t="shared" si="19"/>
        <v>1861773.3399999999</v>
      </c>
      <c r="O56" s="68">
        <f t="shared" si="19"/>
        <v>1007882.3099999999</v>
      </c>
      <c r="P56" s="68">
        <f t="shared" si="19"/>
        <v>1106636.46</v>
      </c>
      <c r="Q56" s="68">
        <f t="shared" si="19"/>
        <v>102295.59</v>
      </c>
      <c r="R56" s="68">
        <f t="shared" si="19"/>
        <v>2216814.3600000003</v>
      </c>
      <c r="S56" s="116">
        <f t="shared" si="19"/>
        <v>13939025.7</v>
      </c>
      <c r="T56" s="149">
        <f>T58+T57</f>
        <v>13939025.7</v>
      </c>
      <c r="U56" s="147">
        <f t="shared" si="0"/>
        <v>0</v>
      </c>
    </row>
    <row r="57" spans="1:21" s="124" customFormat="1" ht="15">
      <c r="A57" s="123" t="s">
        <v>187</v>
      </c>
      <c r="B57" s="123"/>
      <c r="C57" s="123">
        <f>C5+C7+C48+C49</f>
        <v>358239</v>
      </c>
      <c r="D57" s="123">
        <f>D5+D7+D48+D49</f>
        <v>1220074</v>
      </c>
      <c r="E57" s="123">
        <f>E5+E7+E48+E49</f>
        <v>1220074</v>
      </c>
      <c r="F57" s="123">
        <f>SUM(C57:E57)</f>
        <v>2798387</v>
      </c>
      <c r="G57" s="123">
        <f>G5+G7+G48+G49</f>
        <v>1364748</v>
      </c>
      <c r="H57" s="123">
        <f>H5+H7+H48+H49</f>
        <v>1224074</v>
      </c>
      <c r="I57" s="123">
        <f>I5+I7+I48+I49</f>
        <v>3231538</v>
      </c>
      <c r="J57" s="123">
        <f>SUM(G57:I57)</f>
        <v>5820360</v>
      </c>
      <c r="K57" s="123">
        <f>K5+K7+K48+K49</f>
        <v>879907.34</v>
      </c>
      <c r="L57" s="123">
        <f>L5+L7+L48+L49</f>
        <v>0</v>
      </c>
      <c r="M57" s="123">
        <f>M5+M7+M48+M49</f>
        <v>903722</v>
      </c>
      <c r="N57" s="123">
        <f>SUM(K57:M57)</f>
        <v>1783629.3399999999</v>
      </c>
      <c r="O57" s="123">
        <f>O5+O7+O48+O49</f>
        <v>870090</v>
      </c>
      <c r="P57" s="123">
        <f>P5+P7+P48+P49</f>
        <v>982022</v>
      </c>
      <c r="Q57" s="123">
        <f>Q5+Q7+Q48+Q49</f>
        <v>0</v>
      </c>
      <c r="R57" s="123">
        <f>SUM(O57:Q57)</f>
        <v>1852112</v>
      </c>
      <c r="S57" s="122">
        <f>F57+J57+N57+R57</f>
        <v>12254488.34</v>
      </c>
      <c r="T57" s="122">
        <f>T5+T7+T48+T49</f>
        <v>12254488.34</v>
      </c>
      <c r="U57" s="147">
        <f t="shared" si="0"/>
        <v>0</v>
      </c>
    </row>
    <row r="58" spans="1:21" s="63" customFormat="1" ht="15">
      <c r="A58" s="124" t="s">
        <v>186</v>
      </c>
      <c r="C58" s="63">
        <f>C11+C13+C16</f>
        <v>42550</v>
      </c>
      <c r="D58" s="63">
        <f>D11+D13+D16</f>
        <v>141956</v>
      </c>
      <c r="E58" s="63">
        <f>E11+E13+E16</f>
        <v>141951</v>
      </c>
      <c r="F58" s="123">
        <f>SUM(C58:E58)</f>
        <v>326457</v>
      </c>
      <c r="G58" s="63">
        <f>G11+G13+G16</f>
        <v>141966</v>
      </c>
      <c r="H58" s="63">
        <f>H11+H13+H16</f>
        <v>141966</v>
      </c>
      <c r="I58" s="63">
        <f>I11+I13+I16</f>
        <v>631302</v>
      </c>
      <c r="J58" s="123">
        <f>SUM(G58:I58)</f>
        <v>915234</v>
      </c>
      <c r="K58" s="63">
        <f>K11+K13+K16</f>
        <v>35594</v>
      </c>
      <c r="L58" s="63">
        <f>L11+L13+L16</f>
        <v>0</v>
      </c>
      <c r="M58" s="63">
        <f>M11+M13+M16</f>
        <v>42550</v>
      </c>
      <c r="N58" s="123">
        <f>SUM(K58:M58)</f>
        <v>78144</v>
      </c>
      <c r="O58" s="63">
        <f>O11+O13+O16</f>
        <v>137792.31</v>
      </c>
      <c r="P58" s="63">
        <f>P11+P13+P16</f>
        <v>124614.46</v>
      </c>
      <c r="Q58" s="63">
        <f>Q11+Q13+Q16</f>
        <v>102295.59</v>
      </c>
      <c r="R58" s="123">
        <f>SUM(O58:Q58)</f>
        <v>364702.36</v>
      </c>
      <c r="S58" s="122">
        <f>F58+J58+N58+R58</f>
        <v>1684537.3599999999</v>
      </c>
      <c r="T58" s="128">
        <f>'[2]расчет норматива'!$F$17+'[2]расчет норматива'!$F$19+'[2]расчет норматива'!$F$20</f>
        <v>1684537.3599999999</v>
      </c>
      <c r="U58" s="147">
        <f t="shared" si="0"/>
        <v>0</v>
      </c>
    </row>
    <row r="59" spans="1:21" ht="15">
      <c r="A59" s="121"/>
      <c r="F59" s="120">
        <f>C57+D57+E57</f>
        <v>2798387</v>
      </c>
      <c r="J59" s="120"/>
      <c r="N59" s="120"/>
      <c r="R59" s="120"/>
      <c r="S59" s="119"/>
      <c r="U59" s="147">
        <f t="shared" si="0"/>
        <v>0</v>
      </c>
    </row>
    <row r="60" spans="1:21" s="63" customFormat="1" ht="15">
      <c r="A60" s="71" t="s">
        <v>160</v>
      </c>
      <c r="B60" s="71">
        <v>223</v>
      </c>
      <c r="C60" s="71">
        <f aca="true" t="shared" si="20" ref="C60:T60">C20</f>
        <v>123165.99</v>
      </c>
      <c r="D60" s="71">
        <f t="shared" si="20"/>
        <v>117517.5</v>
      </c>
      <c r="E60" s="71">
        <f t="shared" si="20"/>
        <v>108606.28</v>
      </c>
      <c r="F60" s="71">
        <f t="shared" si="20"/>
        <v>349289.77</v>
      </c>
      <c r="G60" s="71">
        <f t="shared" si="20"/>
        <v>53724.43</v>
      </c>
      <c r="H60" s="71">
        <f t="shared" si="20"/>
        <v>7000</v>
      </c>
      <c r="I60" s="71">
        <f t="shared" si="20"/>
        <v>6705.81</v>
      </c>
      <c r="J60" s="71">
        <f t="shared" si="20"/>
        <v>67430.24</v>
      </c>
      <c r="K60" s="71">
        <f t="shared" si="20"/>
        <v>1000</v>
      </c>
      <c r="L60" s="71">
        <f t="shared" si="20"/>
        <v>6000</v>
      </c>
      <c r="M60" s="71">
        <f t="shared" si="20"/>
        <v>11858.32</v>
      </c>
      <c r="N60" s="71">
        <f t="shared" si="20"/>
        <v>18858.32</v>
      </c>
      <c r="O60" s="71">
        <f t="shared" si="20"/>
        <v>73926.5</v>
      </c>
      <c r="P60" s="71">
        <f t="shared" si="20"/>
        <v>100141.51</v>
      </c>
      <c r="Q60" s="71">
        <f t="shared" si="20"/>
        <v>102669.79</v>
      </c>
      <c r="R60" s="71">
        <f t="shared" si="20"/>
        <v>276737.8</v>
      </c>
      <c r="S60" s="99">
        <f>S20</f>
        <v>712316.13</v>
      </c>
      <c r="T60" s="99">
        <f t="shared" si="20"/>
        <v>712316.1299999999</v>
      </c>
      <c r="U60" s="147">
        <f t="shared" si="0"/>
        <v>0</v>
      </c>
    </row>
    <row r="61" spans="1:21" ht="15.75" customHeight="1">
      <c r="A61" s="70" t="s">
        <v>159</v>
      </c>
      <c r="B61" s="70">
        <v>290</v>
      </c>
      <c r="C61" s="118">
        <v>449425</v>
      </c>
      <c r="D61" s="118">
        <v>0</v>
      </c>
      <c r="E61" s="118">
        <v>0</v>
      </c>
      <c r="F61" s="71">
        <f>C61+D61+E61</f>
        <v>449425</v>
      </c>
      <c r="G61" s="118">
        <v>449425</v>
      </c>
      <c r="H61" s="118">
        <v>0</v>
      </c>
      <c r="I61" s="118">
        <v>0</v>
      </c>
      <c r="J61" s="71">
        <f>G61+H61+I61</f>
        <v>449425</v>
      </c>
      <c r="K61" s="118">
        <v>449425</v>
      </c>
      <c r="L61" s="118">
        <v>0</v>
      </c>
      <c r="M61" s="118">
        <v>0</v>
      </c>
      <c r="N61" s="71">
        <f>K61+L61+M61</f>
        <v>449425</v>
      </c>
      <c r="O61" s="118">
        <v>449425</v>
      </c>
      <c r="P61" s="118">
        <v>0</v>
      </c>
      <c r="Q61" s="118">
        <v>0</v>
      </c>
      <c r="R61" s="71">
        <f>O61+P61+Q61</f>
        <v>449425</v>
      </c>
      <c r="S61" s="117">
        <f>R61+J61+F61+N61</f>
        <v>1797700</v>
      </c>
      <c r="T61" s="117">
        <f>'[2]расчет норматива'!$F$142+'[2]расчет норматива'!$F$143</f>
        <v>1797700</v>
      </c>
      <c r="U61" s="147">
        <f t="shared" si="0"/>
        <v>0</v>
      </c>
    </row>
    <row r="62" spans="1:21" s="67" customFormat="1" ht="15">
      <c r="A62" s="68" t="s">
        <v>158</v>
      </c>
      <c r="B62" s="69"/>
      <c r="C62" s="68">
        <f aca="true" t="shared" si="21" ref="C62:R62">C60+C61</f>
        <v>572590.99</v>
      </c>
      <c r="D62" s="68">
        <f t="shared" si="21"/>
        <v>117517.5</v>
      </c>
      <c r="E62" s="68">
        <f t="shared" si="21"/>
        <v>108606.28</v>
      </c>
      <c r="F62" s="68">
        <f t="shared" si="21"/>
        <v>798714.77</v>
      </c>
      <c r="G62" s="68">
        <f t="shared" si="21"/>
        <v>503149.43</v>
      </c>
      <c r="H62" s="68">
        <f t="shared" si="21"/>
        <v>7000</v>
      </c>
      <c r="I62" s="68">
        <f t="shared" si="21"/>
        <v>6705.81</v>
      </c>
      <c r="J62" s="68">
        <f t="shared" si="21"/>
        <v>516855.24</v>
      </c>
      <c r="K62" s="68">
        <f t="shared" si="21"/>
        <v>450425</v>
      </c>
      <c r="L62" s="68">
        <f t="shared" si="21"/>
        <v>6000</v>
      </c>
      <c r="M62" s="68">
        <f t="shared" si="21"/>
        <v>11858.32</v>
      </c>
      <c r="N62" s="68">
        <f t="shared" si="21"/>
        <v>468283.32</v>
      </c>
      <c r="O62" s="68">
        <f t="shared" si="21"/>
        <v>523351.5</v>
      </c>
      <c r="P62" s="68">
        <f t="shared" si="21"/>
        <v>100141.51</v>
      </c>
      <c r="Q62" s="68">
        <f t="shared" si="21"/>
        <v>102669.79</v>
      </c>
      <c r="R62" s="68">
        <f t="shared" si="21"/>
        <v>726162.8</v>
      </c>
      <c r="S62" s="116">
        <f>S60+S61</f>
        <v>2510016.13</v>
      </c>
      <c r="T62" s="150">
        <f>'[2]расчет норматива'!$F$152</f>
        <v>2510016.13</v>
      </c>
      <c r="U62" s="147">
        <f t="shared" si="0"/>
        <v>0</v>
      </c>
    </row>
    <row r="63" spans="20:21" ht="15">
      <c r="T63" s="98"/>
      <c r="U63" s="147">
        <f t="shared" si="0"/>
        <v>0</v>
      </c>
    </row>
    <row r="64" spans="1:21" s="64" customFormat="1" ht="15.75">
      <c r="A64" s="66" t="s">
        <v>157</v>
      </c>
      <c r="B64" s="66"/>
      <c r="C64" s="66">
        <f aca="true" t="shared" si="22" ref="C64:S64">C62+C56+C52</f>
        <v>1492831.51</v>
      </c>
      <c r="D64" s="66">
        <f t="shared" si="22"/>
        <v>2609571.73</v>
      </c>
      <c r="E64" s="66">
        <f t="shared" si="22"/>
        <v>2652949.76</v>
      </c>
      <c r="F64" s="65">
        <f t="shared" si="22"/>
        <v>6755353</v>
      </c>
      <c r="G64" s="66">
        <f t="shared" si="22"/>
        <v>3081303.37</v>
      </c>
      <c r="H64" s="66">
        <f t="shared" si="22"/>
        <v>2971293.51</v>
      </c>
      <c r="I64" s="66">
        <f t="shared" si="22"/>
        <v>5406362.12</v>
      </c>
      <c r="J64" s="65">
        <f t="shared" si="22"/>
        <v>11458959</v>
      </c>
      <c r="K64" s="66">
        <f t="shared" si="22"/>
        <v>2434187.5799999996</v>
      </c>
      <c r="L64" s="66">
        <f t="shared" si="22"/>
        <v>120273.57999999999</v>
      </c>
      <c r="M64" s="66">
        <f t="shared" si="22"/>
        <v>1453900.8399999999</v>
      </c>
      <c r="N64" s="65">
        <f t="shared" si="22"/>
        <v>4011861.9999999995</v>
      </c>
      <c r="O64" s="66">
        <f t="shared" si="22"/>
        <v>2952241.04</v>
      </c>
      <c r="P64" s="66">
        <f t="shared" si="22"/>
        <v>2664104.05</v>
      </c>
      <c r="Q64" s="66">
        <f t="shared" si="22"/>
        <v>1148880.9100000001</v>
      </c>
      <c r="R64" s="65">
        <f t="shared" si="22"/>
        <v>6765226</v>
      </c>
      <c r="S64" s="115">
        <f t="shared" si="22"/>
        <v>28991400</v>
      </c>
      <c r="T64" s="151">
        <f>T62+T56+T52</f>
        <v>28991400</v>
      </c>
      <c r="U64" s="147">
        <f t="shared" si="0"/>
        <v>0</v>
      </c>
    </row>
    <row r="65" spans="1:21" s="106" customFormat="1" ht="15">
      <c r="A65" s="111"/>
      <c r="F65" s="108"/>
      <c r="J65" s="108"/>
      <c r="N65" s="108"/>
      <c r="R65" s="108"/>
      <c r="S65" s="107">
        <f>'[2]расчет норматива'!$F$153</f>
        <v>28991400</v>
      </c>
      <c r="T65" s="106">
        <v>28991400</v>
      </c>
      <c r="U65" s="147">
        <f t="shared" si="0"/>
        <v>0</v>
      </c>
    </row>
    <row r="66" spans="2:21" s="112" customFormat="1" ht="15">
      <c r="B66" s="114"/>
      <c r="S66" s="113"/>
      <c r="T66" s="113"/>
      <c r="U66" s="147">
        <f t="shared" si="0"/>
        <v>0</v>
      </c>
    </row>
    <row r="67" spans="1:21" s="106" customFormat="1" ht="15">
      <c r="A67" s="111" t="s">
        <v>156</v>
      </c>
      <c r="B67" s="110"/>
      <c r="F67" s="108"/>
      <c r="J67" s="108"/>
      <c r="N67" s="108"/>
      <c r="R67" s="108"/>
      <c r="S67" s="107"/>
      <c r="U67" s="147">
        <f t="shared" si="0"/>
        <v>0</v>
      </c>
    </row>
    <row r="68" spans="6:21" s="106" customFormat="1" ht="15">
      <c r="F68" s="108"/>
      <c r="J68" s="108"/>
      <c r="N68" s="108"/>
      <c r="R68" s="108"/>
      <c r="S68" s="107"/>
      <c r="U68" s="147">
        <f t="shared" si="0"/>
        <v>0</v>
      </c>
    </row>
    <row r="69" spans="1:21" s="106" customFormat="1" ht="15">
      <c r="A69" s="106" t="s">
        <v>155</v>
      </c>
      <c r="F69" s="108"/>
      <c r="J69" s="108"/>
      <c r="N69" s="108"/>
      <c r="R69" s="108"/>
      <c r="S69" s="107"/>
      <c r="U69" s="147">
        <f t="shared" si="0"/>
        <v>0</v>
      </c>
    </row>
    <row r="70" spans="6:21" s="106" customFormat="1" ht="15">
      <c r="F70" s="108"/>
      <c r="J70" s="108"/>
      <c r="N70" s="108"/>
      <c r="R70" s="108"/>
      <c r="S70" s="107"/>
      <c r="U70" s="147">
        <f t="shared" si="0"/>
        <v>0</v>
      </c>
    </row>
    <row r="71" spans="6:21" s="106" customFormat="1" ht="15" customHeight="1">
      <c r="F71" s="108"/>
      <c r="J71" s="108"/>
      <c r="N71" s="108"/>
      <c r="R71" s="108"/>
      <c r="S71" s="107"/>
      <c r="U71" s="147">
        <f aca="true" t="shared" si="23" ref="U71:U82">T71-S71</f>
        <v>0</v>
      </c>
    </row>
    <row r="72" spans="1:21" s="106" customFormat="1" ht="15" customHeight="1">
      <c r="A72" s="109" t="s">
        <v>185</v>
      </c>
      <c r="F72" s="108"/>
      <c r="J72" s="108"/>
      <c r="N72" s="108"/>
      <c r="R72" s="108"/>
      <c r="S72" s="107"/>
      <c r="U72" s="147">
        <f t="shared" si="23"/>
        <v>0</v>
      </c>
    </row>
    <row r="73" spans="1:21" s="100" customFormat="1" ht="15" customHeight="1">
      <c r="A73" s="102" t="s">
        <v>184</v>
      </c>
      <c r="B73" s="102"/>
      <c r="C73" s="103">
        <v>227612</v>
      </c>
      <c r="D73" s="103">
        <v>214635</v>
      </c>
      <c r="E73" s="103">
        <v>196405</v>
      </c>
      <c r="F73" s="102">
        <f>C73+D73+E73</f>
        <v>638652</v>
      </c>
      <c r="G73" s="103">
        <v>89448.86</v>
      </c>
      <c r="H73" s="103">
        <v>0</v>
      </c>
      <c r="I73" s="103">
        <v>0</v>
      </c>
      <c r="J73" s="102">
        <f>G73+H73+I73</f>
        <v>89448.86</v>
      </c>
      <c r="K73" s="103"/>
      <c r="L73" s="103"/>
      <c r="M73" s="103"/>
      <c r="N73" s="102">
        <f>K73+L73+M73</f>
        <v>0</v>
      </c>
      <c r="O73" s="103">
        <v>117853</v>
      </c>
      <c r="P73" s="103">
        <v>160283</v>
      </c>
      <c r="Q73" s="103">
        <v>168868</v>
      </c>
      <c r="R73" s="102">
        <f>O73+P73+Q73</f>
        <v>447004</v>
      </c>
      <c r="S73" s="101">
        <f aca="true" t="shared" si="24" ref="S73:S81">R73+J73+F73+N73</f>
        <v>1175104.8599999999</v>
      </c>
      <c r="T73" s="125">
        <f>'[2]расчет норматива'!$F$136+'[2]расчет норматива'!$F$147</f>
        <v>1175104.8599999999</v>
      </c>
      <c r="U73" s="147">
        <f t="shared" si="23"/>
        <v>0</v>
      </c>
    </row>
    <row r="74" spans="1:21" s="63" customFormat="1" ht="15" customHeight="1">
      <c r="A74" s="104">
        <v>0.5</v>
      </c>
      <c r="B74" s="71"/>
      <c r="C74" s="71">
        <f>ROUND(C73*50%,2)+0.01</f>
        <v>113806.01</v>
      </c>
      <c r="D74" s="71">
        <f>ROUND(D73*50%,2)</f>
        <v>107317.5</v>
      </c>
      <c r="E74" s="71">
        <f>ROUND(E73*50%,2)</f>
        <v>98202.5</v>
      </c>
      <c r="F74" s="71">
        <f aca="true" t="shared" si="25" ref="F74:F81">C74+D74+E74</f>
        <v>319326.01</v>
      </c>
      <c r="G74" s="71">
        <f>ROUND(G73*50%,2)</f>
        <v>44724.43</v>
      </c>
      <c r="H74" s="71">
        <f>H73</f>
        <v>0</v>
      </c>
      <c r="I74" s="71">
        <f>I73</f>
        <v>0</v>
      </c>
      <c r="J74" s="71">
        <f aca="true" t="shared" si="26" ref="J74:J81">G74+H74+I74</f>
        <v>44724.43</v>
      </c>
      <c r="K74" s="71">
        <f>K73</f>
        <v>0</v>
      </c>
      <c r="L74" s="71">
        <f>L73</f>
        <v>0</v>
      </c>
      <c r="M74" s="71">
        <f>M73</f>
        <v>0</v>
      </c>
      <c r="N74" s="71">
        <f aca="true" t="shared" si="27" ref="N74:N81">K74+L74+M74</f>
        <v>0</v>
      </c>
      <c r="O74" s="71">
        <f>ROUND(O73*50%,2)</f>
        <v>58926.5</v>
      </c>
      <c r="P74" s="71">
        <f>ROUND(P73*50%,2)</f>
        <v>80141.5</v>
      </c>
      <c r="Q74" s="71">
        <f>ROUND(Q73*50%,2)-0.01</f>
        <v>84433.99</v>
      </c>
      <c r="R74" s="71">
        <f aca="true" t="shared" si="28" ref="R74:R81">O74+P74+Q74</f>
        <v>223501.99</v>
      </c>
      <c r="S74" s="99">
        <f t="shared" si="24"/>
        <v>587552.4299999999</v>
      </c>
      <c r="T74" s="128">
        <f>'[2]расчет норматива'!$F$136</f>
        <v>587552.4299999999</v>
      </c>
      <c r="U74" s="147">
        <f t="shared" si="23"/>
        <v>0</v>
      </c>
    </row>
    <row r="75" spans="1:21" s="63" customFormat="1" ht="15" customHeight="1">
      <c r="A75" s="104">
        <v>0.5</v>
      </c>
      <c r="B75" s="71"/>
      <c r="C75" s="71">
        <f>C73-C74</f>
        <v>113805.99</v>
      </c>
      <c r="D75" s="71">
        <f>D73-D74</f>
        <v>107317.5</v>
      </c>
      <c r="E75" s="71">
        <f>E73-E74</f>
        <v>98202.5</v>
      </c>
      <c r="F75" s="71">
        <f t="shared" si="25"/>
        <v>319325.99</v>
      </c>
      <c r="G75" s="71">
        <f>G73-G74</f>
        <v>44724.43</v>
      </c>
      <c r="H75" s="71">
        <f>H73-H74</f>
        <v>0</v>
      </c>
      <c r="I75" s="71">
        <f>I73-I74</f>
        <v>0</v>
      </c>
      <c r="J75" s="71">
        <f t="shared" si="26"/>
        <v>44724.43</v>
      </c>
      <c r="K75" s="71">
        <f>K73-K74</f>
        <v>0</v>
      </c>
      <c r="L75" s="71">
        <f>L73-L74</f>
        <v>0</v>
      </c>
      <c r="M75" s="71">
        <f>M73-M74</f>
        <v>0</v>
      </c>
      <c r="N75" s="71">
        <f t="shared" si="27"/>
        <v>0</v>
      </c>
      <c r="O75" s="71">
        <f>O73-O74</f>
        <v>58926.5</v>
      </c>
      <c r="P75" s="71">
        <f>P73-P74</f>
        <v>80141.5</v>
      </c>
      <c r="Q75" s="71">
        <f>Q73-Q74</f>
        <v>84434.01</v>
      </c>
      <c r="R75" s="71">
        <f t="shared" si="28"/>
        <v>223502.01</v>
      </c>
      <c r="S75" s="99">
        <f t="shared" si="24"/>
        <v>587552.4299999999</v>
      </c>
      <c r="T75" s="128">
        <f>'[2]расчет норматива'!$F$147</f>
        <v>587552.4299999999</v>
      </c>
      <c r="U75" s="147">
        <f t="shared" si="23"/>
        <v>0</v>
      </c>
    </row>
    <row r="76" spans="1:21" s="100" customFormat="1" ht="15" customHeight="1">
      <c r="A76" s="105" t="s">
        <v>178</v>
      </c>
      <c r="B76" s="102"/>
      <c r="C76" s="103">
        <v>8504</v>
      </c>
      <c r="D76" s="103">
        <v>8306</v>
      </c>
      <c r="E76" s="103">
        <v>7901</v>
      </c>
      <c r="F76" s="102">
        <f t="shared" si="25"/>
        <v>24711</v>
      </c>
      <c r="G76" s="103">
        <v>6982</v>
      </c>
      <c r="H76" s="103">
        <v>8664</v>
      </c>
      <c r="I76" s="103">
        <v>6855</v>
      </c>
      <c r="J76" s="102">
        <f t="shared" si="26"/>
        <v>22501</v>
      </c>
      <c r="K76" s="103">
        <v>3210</v>
      </c>
      <c r="L76" s="103">
        <v>3220</v>
      </c>
      <c r="M76" s="103">
        <v>6976.79</v>
      </c>
      <c r="N76" s="102">
        <f t="shared" si="27"/>
        <v>13406.79</v>
      </c>
      <c r="O76" s="103">
        <v>7512</v>
      </c>
      <c r="P76" s="103">
        <v>8374</v>
      </c>
      <c r="Q76" s="103">
        <v>8520.83</v>
      </c>
      <c r="R76" s="102">
        <f t="shared" si="28"/>
        <v>24406.83</v>
      </c>
      <c r="S76" s="101">
        <f t="shared" si="24"/>
        <v>85025.62</v>
      </c>
      <c r="T76" s="125">
        <f>'[2]расчет норматива'!$F$135</f>
        <v>85025.62</v>
      </c>
      <c r="U76" s="147">
        <f t="shared" si="23"/>
        <v>0</v>
      </c>
    </row>
    <row r="77" spans="1:21" s="100" customFormat="1" ht="15" customHeight="1">
      <c r="A77" s="102" t="s">
        <v>183</v>
      </c>
      <c r="B77" s="102"/>
      <c r="C77" s="103">
        <v>93600</v>
      </c>
      <c r="D77" s="103">
        <v>102000</v>
      </c>
      <c r="E77" s="103">
        <f>F77-C77-D77</f>
        <v>104037.78000000003</v>
      </c>
      <c r="F77" s="102">
        <f>F82-F80-F76-F73</f>
        <v>299637.78</v>
      </c>
      <c r="G77" s="103">
        <v>90000</v>
      </c>
      <c r="H77" s="103">
        <v>70000</v>
      </c>
      <c r="I77" s="103">
        <f>J77-G77-H77</f>
        <v>67058.14000000001</v>
      </c>
      <c r="J77" s="102">
        <f>J82-J80-J76-J73</f>
        <v>227058.14</v>
      </c>
      <c r="K77" s="103">
        <v>10000</v>
      </c>
      <c r="L77" s="103">
        <v>60000</v>
      </c>
      <c r="M77" s="103">
        <f>N77-K77-L77</f>
        <v>118583.20999999999</v>
      </c>
      <c r="N77" s="102">
        <f>N82-N80-N76-N73</f>
        <v>188583.21</v>
      </c>
      <c r="O77" s="103">
        <v>150000</v>
      </c>
      <c r="P77" s="103">
        <v>200000</v>
      </c>
      <c r="Q77" s="103">
        <f>R77-O77-P77-0.01</f>
        <v>182357.72999999998</v>
      </c>
      <c r="R77" s="102">
        <f>R82-R80-R76-R73</f>
        <v>532357.74</v>
      </c>
      <c r="S77" s="101">
        <f t="shared" si="24"/>
        <v>1247636.87</v>
      </c>
      <c r="T77" s="125">
        <f>T78+T79</f>
        <v>1247636.8699999999</v>
      </c>
      <c r="U77" s="147">
        <f t="shared" si="23"/>
        <v>0</v>
      </c>
    </row>
    <row r="78" spans="1:21" s="63" customFormat="1" ht="15" customHeight="1">
      <c r="A78" s="104">
        <v>0.9</v>
      </c>
      <c r="B78" s="71"/>
      <c r="C78" s="71">
        <f>ROUND(C77*90%,2)</f>
        <v>84240</v>
      </c>
      <c r="D78" s="71">
        <f>ROUND(D77*90%,2)</f>
        <v>91800</v>
      </c>
      <c r="E78" s="71">
        <f>ROUND(E77*90%,2)</f>
        <v>93634</v>
      </c>
      <c r="F78" s="71">
        <f t="shared" si="25"/>
        <v>269674</v>
      </c>
      <c r="G78" s="71">
        <f>ROUND(G77*90%,2)</f>
        <v>81000</v>
      </c>
      <c r="H78" s="71">
        <f>ROUND(H77*90%,2)</f>
        <v>63000</v>
      </c>
      <c r="I78" s="71">
        <f>ROUND(I77*90%,2)</f>
        <v>60352.33</v>
      </c>
      <c r="J78" s="71">
        <f t="shared" si="26"/>
        <v>204352.33000000002</v>
      </c>
      <c r="K78" s="71">
        <f>ROUND(K77*90%,2)</f>
        <v>9000</v>
      </c>
      <c r="L78" s="71">
        <f>ROUND(L77*90%,2)</f>
        <v>54000</v>
      </c>
      <c r="M78" s="71">
        <f>ROUND(M77*90%,2)</f>
        <v>106724.89</v>
      </c>
      <c r="N78" s="71">
        <f t="shared" si="27"/>
        <v>169724.89</v>
      </c>
      <c r="O78" s="71">
        <f>ROUND(O77*90%,2)</f>
        <v>135000</v>
      </c>
      <c r="P78" s="71">
        <f>ROUND(P77*90%,2)-0.01</f>
        <v>179999.99</v>
      </c>
      <c r="Q78" s="71">
        <f>ROUND(Q77*90%,2)</f>
        <v>164121.96</v>
      </c>
      <c r="R78" s="71">
        <f t="shared" si="28"/>
        <v>479121.94999999995</v>
      </c>
      <c r="S78" s="99">
        <f t="shared" si="24"/>
        <v>1122873.17</v>
      </c>
      <c r="T78" s="128">
        <f>'[2]расчет норматива'!$F$137</f>
        <v>1122873.17</v>
      </c>
      <c r="U78" s="147">
        <f t="shared" si="23"/>
        <v>0</v>
      </c>
    </row>
    <row r="79" spans="1:21" s="63" customFormat="1" ht="15" customHeight="1">
      <c r="A79" s="104">
        <v>0.1</v>
      </c>
      <c r="B79" s="71"/>
      <c r="C79" s="71">
        <f>ROUND(C77*10%,2)</f>
        <v>9360</v>
      </c>
      <c r="D79" s="71">
        <f>ROUND(D77*10%,2)</f>
        <v>10200</v>
      </c>
      <c r="E79" s="71">
        <f>ROUND(E77*10%,2)</f>
        <v>10403.78</v>
      </c>
      <c r="F79" s="71">
        <f t="shared" si="25"/>
        <v>29963.78</v>
      </c>
      <c r="G79" s="71">
        <f>ROUND(G77*10%,2)</f>
        <v>9000</v>
      </c>
      <c r="H79" s="71">
        <f>ROUND(H77*10%,2)</f>
        <v>7000</v>
      </c>
      <c r="I79" s="71">
        <f>ROUND(I77*10%,2)</f>
        <v>6705.81</v>
      </c>
      <c r="J79" s="71">
        <f t="shared" si="26"/>
        <v>22705.81</v>
      </c>
      <c r="K79" s="71">
        <f>ROUND(K77*10%,2)</f>
        <v>1000</v>
      </c>
      <c r="L79" s="71">
        <f>ROUND(L77*10%,2)</f>
        <v>6000</v>
      </c>
      <c r="M79" s="71">
        <f>ROUND(M77*10%,2)</f>
        <v>11858.32</v>
      </c>
      <c r="N79" s="71">
        <f t="shared" si="27"/>
        <v>18858.32</v>
      </c>
      <c r="O79" s="71">
        <f>ROUND(O77*10%,2)</f>
        <v>15000</v>
      </c>
      <c r="P79" s="71">
        <f>ROUND(P77*10%,2)+0.01</f>
        <v>20000.01</v>
      </c>
      <c r="Q79" s="71">
        <f>ROUND(Q77*10%,2)+0.01</f>
        <v>18235.78</v>
      </c>
      <c r="R79" s="71">
        <f t="shared" si="28"/>
        <v>53235.78999999999</v>
      </c>
      <c r="S79" s="99">
        <f t="shared" si="24"/>
        <v>124763.69999999998</v>
      </c>
      <c r="T79" s="128">
        <f>'[2]расчет норматива'!$F$148</f>
        <v>124763.7</v>
      </c>
      <c r="U79" s="147">
        <f t="shared" si="23"/>
        <v>0</v>
      </c>
    </row>
    <row r="80" spans="1:21" s="100" customFormat="1" ht="15" customHeight="1">
      <c r="A80" s="102" t="s">
        <v>182</v>
      </c>
      <c r="B80" s="102"/>
      <c r="C80" s="103">
        <v>8481</v>
      </c>
      <c r="D80" s="103">
        <v>8363.22</v>
      </c>
      <c r="E80" s="103">
        <v>8471</v>
      </c>
      <c r="F80" s="102">
        <f t="shared" si="25"/>
        <v>25315.22</v>
      </c>
      <c r="G80" s="103">
        <v>8645</v>
      </c>
      <c r="H80" s="103">
        <v>7504</v>
      </c>
      <c r="I80" s="103">
        <v>8515</v>
      </c>
      <c r="J80" s="102">
        <f t="shared" si="26"/>
        <v>24664</v>
      </c>
      <c r="K80" s="103">
        <v>7935</v>
      </c>
      <c r="L80" s="103">
        <v>7935</v>
      </c>
      <c r="M80" s="103">
        <v>7998</v>
      </c>
      <c r="N80" s="102">
        <f t="shared" si="27"/>
        <v>23868</v>
      </c>
      <c r="O80" s="103">
        <v>7748</v>
      </c>
      <c r="P80" s="103">
        <v>7628</v>
      </c>
      <c r="Q80" s="103">
        <v>7809.43</v>
      </c>
      <c r="R80" s="102">
        <f t="shared" si="28"/>
        <v>23185.43</v>
      </c>
      <c r="S80" s="101">
        <f t="shared" si="24"/>
        <v>97032.65</v>
      </c>
      <c r="T80" s="125">
        <f>'[2]расчет норматива'!$F$133+'[2]расчет норматива'!$F$134</f>
        <v>97032.65</v>
      </c>
      <c r="U80" s="147">
        <f t="shared" si="23"/>
        <v>0</v>
      </c>
    </row>
    <row r="81" spans="1:21" s="100" customFormat="1" ht="15" customHeight="1">
      <c r="A81" s="102"/>
      <c r="B81" s="102"/>
      <c r="C81" s="103"/>
      <c r="D81" s="103"/>
      <c r="E81" s="103"/>
      <c r="F81" s="102">
        <f t="shared" si="25"/>
        <v>0</v>
      </c>
      <c r="G81" s="103"/>
      <c r="H81" s="103"/>
      <c r="I81" s="103"/>
      <c r="J81" s="102">
        <f t="shared" si="26"/>
        <v>0</v>
      </c>
      <c r="K81" s="103"/>
      <c r="L81" s="103"/>
      <c r="M81" s="103"/>
      <c r="N81" s="102">
        <f t="shared" si="27"/>
        <v>0</v>
      </c>
      <c r="O81" s="103"/>
      <c r="P81" s="103"/>
      <c r="Q81" s="103"/>
      <c r="R81" s="102">
        <f t="shared" si="28"/>
        <v>0</v>
      </c>
      <c r="S81" s="101">
        <f t="shared" si="24"/>
        <v>0</v>
      </c>
      <c r="U81" s="147">
        <f t="shared" si="23"/>
        <v>0</v>
      </c>
    </row>
    <row r="82" spans="1:21" s="63" customFormat="1" ht="15" customHeight="1">
      <c r="A82" s="71">
        <v>223</v>
      </c>
      <c r="B82" s="71"/>
      <c r="C82" s="71">
        <f aca="true" t="shared" si="29" ref="C82:T82">C73+C77+C80+C76+C81</f>
        <v>338197</v>
      </c>
      <c r="D82" s="71">
        <f t="shared" si="29"/>
        <v>333304.22</v>
      </c>
      <c r="E82" s="71">
        <f t="shared" si="29"/>
        <v>316814.78</v>
      </c>
      <c r="F82" s="146">
        <v>988316</v>
      </c>
      <c r="G82" s="71">
        <f t="shared" si="29"/>
        <v>195075.86</v>
      </c>
      <c r="H82" s="71">
        <f t="shared" si="29"/>
        <v>86168</v>
      </c>
      <c r="I82" s="71">
        <f t="shared" si="29"/>
        <v>82428.14000000001</v>
      </c>
      <c r="J82" s="146">
        <v>363672</v>
      </c>
      <c r="K82" s="71">
        <f t="shared" si="29"/>
        <v>21145</v>
      </c>
      <c r="L82" s="71">
        <f t="shared" si="29"/>
        <v>71155</v>
      </c>
      <c r="M82" s="71">
        <f t="shared" si="29"/>
        <v>133558</v>
      </c>
      <c r="N82" s="146">
        <v>225858</v>
      </c>
      <c r="O82" s="71">
        <f t="shared" si="29"/>
        <v>283113</v>
      </c>
      <c r="P82" s="71">
        <f t="shared" si="29"/>
        <v>376285</v>
      </c>
      <c r="Q82" s="71">
        <f t="shared" si="29"/>
        <v>367555.99</v>
      </c>
      <c r="R82" s="146">
        <v>1026954</v>
      </c>
      <c r="S82" s="99">
        <f t="shared" si="29"/>
        <v>2604800</v>
      </c>
      <c r="T82" s="99">
        <f t="shared" si="29"/>
        <v>2604799.9999999995</v>
      </c>
      <c r="U82" s="147">
        <f t="shared" si="23"/>
        <v>0</v>
      </c>
    </row>
    <row r="83" spans="6:20" ht="15" customHeight="1">
      <c r="F83" s="63">
        <v>988316</v>
      </c>
      <c r="J83" s="63">
        <v>363672</v>
      </c>
      <c r="N83" s="63">
        <v>225858</v>
      </c>
      <c r="R83" s="168">
        <v>1026954</v>
      </c>
      <c r="T83">
        <f>F83+J83+N83+R83</f>
        <v>2604800</v>
      </c>
    </row>
    <row r="84" spans="1:19" s="106" customFormat="1" ht="15" customHeight="1">
      <c r="A84" s="109" t="s">
        <v>194</v>
      </c>
      <c r="F84" s="108"/>
      <c r="J84" s="108"/>
      <c r="N84" s="108"/>
      <c r="R84" s="108"/>
      <c r="S84" s="107"/>
    </row>
    <row r="85" spans="1:28" s="106" customFormat="1" ht="15" customHeight="1">
      <c r="A85" s="109"/>
      <c r="C85" s="316" t="s">
        <v>228</v>
      </c>
      <c r="D85" s="316"/>
      <c r="E85" s="316"/>
      <c r="F85" s="316"/>
      <c r="G85" s="316"/>
      <c r="H85" s="316"/>
      <c r="I85" s="316"/>
      <c r="J85" s="316"/>
      <c r="L85" s="313" t="s">
        <v>199</v>
      </c>
      <c r="M85" s="313"/>
      <c r="N85" s="313"/>
      <c r="O85" s="313"/>
      <c r="P85" s="313"/>
      <c r="Q85" s="313"/>
      <c r="R85" s="313"/>
      <c r="S85" s="313"/>
      <c r="U85" s="313" t="s">
        <v>200</v>
      </c>
      <c r="V85" s="313"/>
      <c r="W85" s="313"/>
      <c r="X85" s="313"/>
      <c r="Y85" s="313"/>
      <c r="Z85" s="313"/>
      <c r="AA85" s="313"/>
      <c r="AB85" s="313"/>
    </row>
    <row r="86" spans="1:28" s="106" customFormat="1" ht="15" customHeight="1">
      <c r="A86" s="109"/>
      <c r="C86" s="313" t="s">
        <v>197</v>
      </c>
      <c r="D86" s="313"/>
      <c r="F86" s="313" t="s">
        <v>187</v>
      </c>
      <c r="G86" s="313"/>
      <c r="I86" s="313" t="s">
        <v>179</v>
      </c>
      <c r="J86" s="313"/>
      <c r="L86" s="313" t="s">
        <v>197</v>
      </c>
      <c r="M86" s="313"/>
      <c r="O86" s="313" t="s">
        <v>187</v>
      </c>
      <c r="P86" s="313"/>
      <c r="R86" s="313" t="s">
        <v>179</v>
      </c>
      <c r="S86" s="313"/>
      <c r="U86" s="313" t="s">
        <v>197</v>
      </c>
      <c r="V86" s="313"/>
      <c r="X86" s="313" t="s">
        <v>187</v>
      </c>
      <c r="Y86" s="313"/>
      <c r="AA86" s="313" t="s">
        <v>179</v>
      </c>
      <c r="AB86" s="313"/>
    </row>
    <row r="87" spans="3:28" s="142" customFormat="1" ht="15" customHeight="1">
      <c r="C87" s="112">
        <v>211</v>
      </c>
      <c r="D87" s="112">
        <v>213</v>
      </c>
      <c r="E87" s="112"/>
      <c r="F87" s="112">
        <v>211</v>
      </c>
      <c r="G87" s="112">
        <v>213</v>
      </c>
      <c r="H87" s="112"/>
      <c r="I87" s="112">
        <v>211</v>
      </c>
      <c r="J87" s="112">
        <v>213</v>
      </c>
      <c r="K87" s="112"/>
      <c r="L87" s="112">
        <v>211</v>
      </c>
      <c r="M87" s="112">
        <v>213</v>
      </c>
      <c r="N87" s="112"/>
      <c r="O87" s="112">
        <v>211</v>
      </c>
      <c r="P87" s="112">
        <v>213</v>
      </c>
      <c r="Q87" s="112"/>
      <c r="R87" s="112">
        <v>211</v>
      </c>
      <c r="S87" s="112">
        <v>213</v>
      </c>
      <c r="U87" s="112">
        <v>211</v>
      </c>
      <c r="V87" s="112">
        <v>213</v>
      </c>
      <c r="W87" s="112"/>
      <c r="X87" s="112">
        <v>211</v>
      </c>
      <c r="Y87" s="112">
        <v>213</v>
      </c>
      <c r="Z87" s="112"/>
      <c r="AA87" s="112">
        <v>211</v>
      </c>
      <c r="AB87" s="112">
        <v>213</v>
      </c>
    </row>
    <row r="88" spans="1:28" s="127" customFormat="1" ht="15" customHeight="1">
      <c r="A88" s="93" t="s">
        <v>195</v>
      </c>
      <c r="C88" s="171">
        <v>106372</v>
      </c>
      <c r="D88" s="171">
        <f>ROUND(C88*0.342,2)</f>
        <v>36379.22</v>
      </c>
      <c r="E88" s="172"/>
      <c r="F88" s="171">
        <v>982022.09</v>
      </c>
      <c r="G88" s="171">
        <f>ROUND(F88*0.3,2)</f>
        <v>294606.63</v>
      </c>
      <c r="H88" s="172">
        <f>F88/F90</f>
        <v>0.6990834453360366</v>
      </c>
      <c r="I88" s="171">
        <f>C88+F88</f>
        <v>1088394.0899999999</v>
      </c>
      <c r="J88" s="171">
        <f>D88+G88</f>
        <v>330985.85</v>
      </c>
      <c r="L88" s="71">
        <f>ROUND(C88*1.065,2)</f>
        <v>113286.18</v>
      </c>
      <c r="M88" s="71">
        <f>ROUND(L88*0.342,2)</f>
        <v>38743.87</v>
      </c>
      <c r="O88" s="71">
        <f>ROUND(F88*1.065,2)</f>
        <v>1045853.53</v>
      </c>
      <c r="P88" s="71">
        <f>ROUND(O88*0.342,2)</f>
        <v>357681.91</v>
      </c>
      <c r="R88" s="71">
        <f>L88+O88</f>
        <v>1159139.71</v>
      </c>
      <c r="S88" s="71">
        <f>M88+P88</f>
        <v>396425.77999999997</v>
      </c>
      <c r="U88" s="71"/>
      <c r="V88" s="71">
        <f>ROUND(U88*0.342,2)</f>
        <v>0</v>
      </c>
      <c r="X88" s="71">
        <v>445315.17</v>
      </c>
      <c r="Y88" s="71">
        <f>ROUND(X88*0.342,2)</f>
        <v>152297.79</v>
      </c>
      <c r="AA88" s="71">
        <f>U88+X88</f>
        <v>445315.17</v>
      </c>
      <c r="AB88" s="71">
        <f>V88+Y88</f>
        <v>152297.79</v>
      </c>
    </row>
    <row r="89" spans="1:28" s="127" customFormat="1" ht="15" customHeight="1">
      <c r="A89" s="85" t="s">
        <v>196</v>
      </c>
      <c r="C89" s="171">
        <v>261513</v>
      </c>
      <c r="D89" s="171">
        <f>ROUND(C89*0.342,2)</f>
        <v>89437.45</v>
      </c>
      <c r="E89" s="172"/>
      <c r="F89" s="171">
        <v>422705.91</v>
      </c>
      <c r="G89" s="171">
        <f>ROUND(F89*0.3,2)</f>
        <v>126811.77</v>
      </c>
      <c r="H89" s="172"/>
      <c r="I89" s="171">
        <f>C89+F89</f>
        <v>684218.9099999999</v>
      </c>
      <c r="J89" s="171">
        <f>D89+G89</f>
        <v>216249.22</v>
      </c>
      <c r="L89" s="71">
        <f>ROUND(C89*1.065,2)</f>
        <v>278511.35</v>
      </c>
      <c r="M89" s="71">
        <f>ROUND(L89*0.342,2)</f>
        <v>95250.88</v>
      </c>
      <c r="O89" s="71">
        <f>ROUND(F89*1.065,2)</f>
        <v>450181.79</v>
      </c>
      <c r="P89" s="71">
        <f>ROUND(O89*0.342,2)</f>
        <v>153962.17</v>
      </c>
      <c r="R89" s="71">
        <f>L89+O89</f>
        <v>728693.1399999999</v>
      </c>
      <c r="S89" s="71">
        <f>M89+P89</f>
        <v>249213.05000000002</v>
      </c>
      <c r="U89" s="71">
        <f>C89</f>
        <v>261513</v>
      </c>
      <c r="V89" s="71">
        <f>ROUND(U89*0.342,2)</f>
        <v>89437.45</v>
      </c>
      <c r="X89" s="71">
        <v>201228</v>
      </c>
      <c r="Y89" s="71">
        <f>ROUND(X89*0.342,2)</f>
        <v>68819.98</v>
      </c>
      <c r="AA89" s="71">
        <f>U89+X89</f>
        <v>462741</v>
      </c>
      <c r="AB89" s="71">
        <f>V89+Y89</f>
        <v>158257.43</v>
      </c>
    </row>
    <row r="90" spans="1:28" ht="15" customHeight="1">
      <c r="A90" t="s">
        <v>179</v>
      </c>
      <c r="C90" s="173">
        <f>SUM(C88:C89)</f>
        <v>367885</v>
      </c>
      <c r="D90" s="173">
        <f>SUM(D88:D89)</f>
        <v>125816.67</v>
      </c>
      <c r="E90" s="173"/>
      <c r="F90" s="173">
        <f>SUM(F88:F89)</f>
        <v>1404728</v>
      </c>
      <c r="G90" s="173">
        <f>SUM(G88:G89)</f>
        <v>421418.4</v>
      </c>
      <c r="H90" s="173"/>
      <c r="I90" s="173">
        <f>SUM(I88:I89)</f>
        <v>1772612.9999999998</v>
      </c>
      <c r="J90" s="173">
        <f>SUM(J88:J89)</f>
        <v>547235.07</v>
      </c>
      <c r="L90">
        <f>SUM(L88:L89)</f>
        <v>391797.52999999997</v>
      </c>
      <c r="M90">
        <f>SUM(M88:M89)</f>
        <v>133994.75</v>
      </c>
      <c r="N90"/>
      <c r="O90">
        <f>SUM(O88:O89)</f>
        <v>1496035.32</v>
      </c>
      <c r="P90">
        <f>SUM(P88:P89)</f>
        <v>511644.07999999996</v>
      </c>
      <c r="R90">
        <f>SUM(R88:R89)</f>
        <v>1887832.8499999999</v>
      </c>
      <c r="S90">
        <f>SUM(S88:S89)</f>
        <v>645638.83</v>
      </c>
      <c r="U90">
        <f>SUM(U88:U89)</f>
        <v>261513</v>
      </c>
      <c r="V90">
        <f>SUM(V88:V89)</f>
        <v>89437.45</v>
      </c>
      <c r="X90">
        <f>SUM(X88:X89)</f>
        <v>646543.1699999999</v>
      </c>
      <c r="Y90">
        <f>SUM(Y88:Y89)</f>
        <v>221117.77000000002</v>
      </c>
      <c r="AA90">
        <f>SUM(AA88:AA89)</f>
        <v>908056.1699999999</v>
      </c>
      <c r="AB90">
        <f>SUM(AB88:AB89)</f>
        <v>310555.22</v>
      </c>
    </row>
    <row r="91" spans="1:28" ht="15" customHeight="1">
      <c r="A91" t="s">
        <v>198</v>
      </c>
      <c r="C91" s="173"/>
      <c r="D91" s="173"/>
      <c r="E91" s="173"/>
      <c r="F91" s="174"/>
      <c r="G91" s="173"/>
      <c r="H91" s="173"/>
      <c r="I91" s="173"/>
      <c r="J91" s="174"/>
      <c r="N91"/>
      <c r="O91" s="63"/>
      <c r="R91"/>
      <c r="S91" s="63"/>
      <c r="X91" s="63"/>
      <c r="AB91" s="63"/>
    </row>
    <row r="92" spans="1:28" ht="15" customHeight="1">
      <c r="A92" s="93" t="s">
        <v>195</v>
      </c>
      <c r="C92" s="171">
        <f>ROUND(C88*0.4,2)</f>
        <v>42548.8</v>
      </c>
      <c r="D92" s="171"/>
      <c r="E92" s="172"/>
      <c r="F92" s="171">
        <f>ROUND(F88*0.4,2)</f>
        <v>392808.84</v>
      </c>
      <c r="G92" s="171"/>
      <c r="H92" s="173"/>
      <c r="I92" s="173"/>
      <c r="J92" s="174"/>
      <c r="L92" s="71">
        <f>ROUND(L88*0.4,2)</f>
        <v>45314.47</v>
      </c>
      <c r="M92" s="71"/>
      <c r="N92" s="127"/>
      <c r="O92" s="71">
        <f>ROUND(O88*0.4,2)</f>
        <v>418341.41</v>
      </c>
      <c r="P92" s="71"/>
      <c r="R92"/>
      <c r="S92" s="63"/>
      <c r="U92" s="71">
        <f>ROUND(U88*0.4,2)</f>
        <v>0</v>
      </c>
      <c r="V92" s="71"/>
      <c r="W92" s="127"/>
      <c r="X92" s="71">
        <f>ROUND(X88*0.4,2)</f>
        <v>178126.07</v>
      </c>
      <c r="Y92" s="71"/>
      <c r="AB92" s="63"/>
    </row>
    <row r="93" spans="1:28" ht="15" customHeight="1">
      <c r="A93" s="85" t="s">
        <v>196</v>
      </c>
      <c r="C93" s="171">
        <f>ROUND(C89*0.4,2)</f>
        <v>104605.2</v>
      </c>
      <c r="D93" s="171"/>
      <c r="E93" s="172"/>
      <c r="F93" s="171">
        <f>ROUND(F89*0.4,2)</f>
        <v>169082.36</v>
      </c>
      <c r="G93" s="171"/>
      <c r="H93" s="173"/>
      <c r="I93" s="173"/>
      <c r="J93" s="174"/>
      <c r="L93" s="71">
        <f>ROUND(L89*0.4,2)</f>
        <v>111404.54</v>
      </c>
      <c r="M93" s="71"/>
      <c r="N93" s="127"/>
      <c r="O93" s="71">
        <f>ROUND(O89*0.4,2)</f>
        <v>180072.72</v>
      </c>
      <c r="P93" s="71"/>
      <c r="R93"/>
      <c r="S93" s="63"/>
      <c r="U93" s="71">
        <f>ROUND(U89*0.4,2)</f>
        <v>104605.2</v>
      </c>
      <c r="V93" s="71"/>
      <c r="W93" s="127"/>
      <c r="X93" s="71">
        <f>ROUND(X89*0.4,2)</f>
        <v>80491.2</v>
      </c>
      <c r="Y93" s="71"/>
      <c r="AB93" s="63"/>
    </row>
    <row r="94" spans="3:10" ht="15" customHeight="1">
      <c r="C94" s="173"/>
      <c r="D94" s="173"/>
      <c r="E94" s="173"/>
      <c r="F94" s="174"/>
      <c r="G94" s="173"/>
      <c r="H94" s="173"/>
      <c r="I94" s="173"/>
      <c r="J94" s="174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mergeCells count="15">
    <mergeCell ref="U85:AB85"/>
    <mergeCell ref="U86:V86"/>
    <mergeCell ref="X86:Y86"/>
    <mergeCell ref="AA86:AB86"/>
    <mergeCell ref="L86:M86"/>
    <mergeCell ref="O86:P86"/>
    <mergeCell ref="R86:S86"/>
    <mergeCell ref="A1:S1"/>
    <mergeCell ref="B2:B3"/>
    <mergeCell ref="C2:R2"/>
    <mergeCell ref="C86:D86"/>
    <mergeCell ref="F86:G86"/>
    <mergeCell ref="I86:J86"/>
    <mergeCell ref="C85:J85"/>
    <mergeCell ref="L85:S85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Главбух</cp:lastModifiedBy>
  <cp:lastPrinted>2013-02-04T11:20:14Z</cp:lastPrinted>
  <dcterms:created xsi:type="dcterms:W3CDTF">2011-03-15T07:37:35Z</dcterms:created>
  <dcterms:modified xsi:type="dcterms:W3CDTF">2013-02-19T05:09:06Z</dcterms:modified>
  <cp:category/>
  <cp:version/>
  <cp:contentType/>
  <cp:contentStatus/>
</cp:coreProperties>
</file>